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p/Desktop/"/>
    </mc:Choice>
  </mc:AlternateContent>
  <xr:revisionPtr revIDLastSave="0" documentId="13_ncr:1_{89C3C92E-A15B-7C4F-9A19-8F2FE945B887}" xr6:coauthVersionLast="47" xr6:coauthVersionMax="47" xr10:uidLastSave="{00000000-0000-0000-0000-000000000000}"/>
  <bookViews>
    <workbookView xWindow="0" yWindow="500" windowWidth="37220" windowHeight="25980" activeTab="4" xr2:uid="{D52C2B05-F98F-4F87-992A-41BB7F84CFFE}"/>
  </bookViews>
  <sheets>
    <sheet name="2025" sheetId="7" r:id="rId1"/>
    <sheet name="2024" sheetId="6" r:id="rId2"/>
    <sheet name="2023" sheetId="5" r:id="rId3"/>
    <sheet name="2022" sheetId="4" r:id="rId4"/>
    <sheet name="aktuelles Diagramm - alle Jahre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7" l="1"/>
  <c r="H47" i="7" l="1"/>
  <c r="G47" i="7"/>
  <c r="F47" i="7"/>
  <c r="E47" i="7"/>
  <c r="E10" i="7"/>
  <c r="D44" i="7" l="1"/>
  <c r="D47" i="7"/>
  <c r="E44" i="7"/>
  <c r="C19" i="1" s="1"/>
  <c r="H18" i="1"/>
  <c r="I18" i="1"/>
  <c r="J18" i="1"/>
  <c r="K18" i="1"/>
  <c r="L18" i="1"/>
  <c r="M18" i="1"/>
  <c r="C20" i="1"/>
  <c r="D20" i="1"/>
  <c r="E20" i="1"/>
  <c r="F20" i="1"/>
  <c r="G20" i="1"/>
  <c r="H20" i="1"/>
  <c r="I20" i="1"/>
  <c r="J20" i="1"/>
  <c r="K20" i="1"/>
  <c r="L20" i="1"/>
  <c r="M20" i="1"/>
  <c r="B20" i="1"/>
  <c r="Q49" i="7"/>
  <c r="R48" i="7"/>
  <c r="P47" i="7"/>
  <c r="O44" i="7"/>
  <c r="M19" i="1" s="1"/>
  <c r="N44" i="7"/>
  <c r="L19" i="1" s="1"/>
  <c r="M44" i="7"/>
  <c r="K19" i="1" s="1"/>
  <c r="L44" i="7"/>
  <c r="J19" i="1" s="1"/>
  <c r="K44" i="7"/>
  <c r="I19" i="1" s="1"/>
  <c r="J44" i="7"/>
  <c r="H19" i="1" s="1"/>
  <c r="I44" i="7"/>
  <c r="G19" i="1" s="1"/>
  <c r="H44" i="7"/>
  <c r="F19" i="1" s="1"/>
  <c r="G44" i="7"/>
  <c r="E19" i="1" s="1"/>
  <c r="F44" i="7"/>
  <c r="D19" i="1" s="1"/>
  <c r="B43" i="7"/>
  <c r="H41" i="7"/>
  <c r="O40" i="7"/>
  <c r="N40" i="7"/>
  <c r="M40" i="7"/>
  <c r="L40" i="7"/>
  <c r="K40" i="7"/>
  <c r="J40" i="7"/>
  <c r="I40" i="7"/>
  <c r="H40" i="7"/>
  <c r="G40" i="7"/>
  <c r="F40" i="7"/>
  <c r="E40" i="7"/>
  <c r="D40" i="7"/>
  <c r="Q39" i="7"/>
  <c r="O38" i="7"/>
  <c r="O41" i="7" s="1"/>
  <c r="N38" i="7"/>
  <c r="N41" i="7" s="1"/>
  <c r="M38" i="7"/>
  <c r="M41" i="7" s="1"/>
  <c r="L38" i="7"/>
  <c r="L41" i="7" s="1"/>
  <c r="K38" i="7"/>
  <c r="K41" i="7" s="1"/>
  <c r="J38" i="7"/>
  <c r="J41" i="7" s="1"/>
  <c r="I38" i="7"/>
  <c r="I41" i="7" s="1"/>
  <c r="H38" i="7"/>
  <c r="G38" i="7"/>
  <c r="G41" i="7" s="1"/>
  <c r="F38" i="7"/>
  <c r="F41" i="7" s="1"/>
  <c r="E38" i="7"/>
  <c r="E41" i="7" s="1"/>
  <c r="D38" i="7"/>
  <c r="D41" i="7" s="1"/>
  <c r="O35" i="7"/>
  <c r="J35" i="7"/>
  <c r="O34" i="7"/>
  <c r="N34" i="7"/>
  <c r="M34" i="7"/>
  <c r="L34" i="7"/>
  <c r="K34" i="7"/>
  <c r="J34" i="7"/>
  <c r="I34" i="7"/>
  <c r="H34" i="7"/>
  <c r="G34" i="7"/>
  <c r="F34" i="7"/>
  <c r="E34" i="7"/>
  <c r="D34" i="7"/>
  <c r="Q33" i="7"/>
  <c r="O32" i="7"/>
  <c r="N32" i="7"/>
  <c r="N35" i="7" s="1"/>
  <c r="M32" i="7"/>
  <c r="M35" i="7" s="1"/>
  <c r="L32" i="7"/>
  <c r="L35" i="7" s="1"/>
  <c r="K32" i="7"/>
  <c r="K35" i="7" s="1"/>
  <c r="J32" i="7"/>
  <c r="I32" i="7"/>
  <c r="I35" i="7" s="1"/>
  <c r="H32" i="7"/>
  <c r="H35" i="7" s="1"/>
  <c r="G32" i="7"/>
  <c r="G35" i="7" s="1"/>
  <c r="F32" i="7"/>
  <c r="F35" i="7" s="1"/>
  <c r="E32" i="7"/>
  <c r="E35" i="7" s="1"/>
  <c r="D32" i="7"/>
  <c r="M28" i="7"/>
  <c r="O27" i="7"/>
  <c r="N27" i="7"/>
  <c r="M27" i="7"/>
  <c r="L27" i="7"/>
  <c r="K27" i="7"/>
  <c r="J27" i="7"/>
  <c r="I27" i="7"/>
  <c r="H27" i="7"/>
  <c r="G27" i="7"/>
  <c r="F27" i="7"/>
  <c r="E27" i="7"/>
  <c r="D27" i="7"/>
  <c r="Q26" i="7"/>
  <c r="O25" i="7"/>
  <c r="O28" i="7" s="1"/>
  <c r="N25" i="7"/>
  <c r="N28" i="7" s="1"/>
  <c r="M25" i="7"/>
  <c r="L25" i="7"/>
  <c r="K25" i="7"/>
  <c r="K28" i="7" s="1"/>
  <c r="J25" i="7"/>
  <c r="J28" i="7" s="1"/>
  <c r="I25" i="7"/>
  <c r="I28" i="7" s="1"/>
  <c r="H25" i="7"/>
  <c r="H28" i="7" s="1"/>
  <c r="G25" i="7"/>
  <c r="G28" i="7" s="1"/>
  <c r="F25" i="7"/>
  <c r="F28" i="7" s="1"/>
  <c r="E25" i="7"/>
  <c r="E28" i="7" s="1"/>
  <c r="D25" i="7"/>
  <c r="M20" i="7"/>
  <c r="L20" i="7"/>
  <c r="O19" i="7"/>
  <c r="N19" i="7"/>
  <c r="M19" i="7"/>
  <c r="L19" i="7"/>
  <c r="K19" i="7"/>
  <c r="J19" i="7"/>
  <c r="I19" i="7"/>
  <c r="H19" i="7"/>
  <c r="G19" i="7"/>
  <c r="F19" i="7"/>
  <c r="D19" i="7"/>
  <c r="O17" i="7"/>
  <c r="O20" i="7" s="1"/>
  <c r="N17" i="7"/>
  <c r="N20" i="7" s="1"/>
  <c r="M17" i="7"/>
  <c r="L17" i="7"/>
  <c r="K17" i="7"/>
  <c r="K20" i="7" s="1"/>
  <c r="J17" i="7"/>
  <c r="J20" i="7" s="1"/>
  <c r="I17" i="7"/>
  <c r="I20" i="7" s="1"/>
  <c r="H17" i="7"/>
  <c r="H20" i="7" s="1"/>
  <c r="G17" i="7"/>
  <c r="G20" i="7" s="1"/>
  <c r="F17" i="7"/>
  <c r="F20" i="7" s="1"/>
  <c r="E17" i="7"/>
  <c r="D17" i="7"/>
  <c r="L13" i="7"/>
  <c r="K13" i="7"/>
  <c r="O12" i="7"/>
  <c r="N12" i="7"/>
  <c r="M12" i="7"/>
  <c r="L12" i="7"/>
  <c r="K12" i="7"/>
  <c r="J12" i="7"/>
  <c r="I12" i="7"/>
  <c r="H12" i="7"/>
  <c r="G12" i="7"/>
  <c r="F12" i="7"/>
  <c r="E12" i="7"/>
  <c r="D12" i="7"/>
  <c r="Q11" i="7"/>
  <c r="O10" i="7"/>
  <c r="O13" i="7" s="1"/>
  <c r="N10" i="7"/>
  <c r="N13" i="7" s="1"/>
  <c r="M10" i="7"/>
  <c r="L10" i="7"/>
  <c r="K10" i="7"/>
  <c r="J10" i="7"/>
  <c r="I10" i="7"/>
  <c r="H10" i="7"/>
  <c r="G10" i="7"/>
  <c r="G13" i="7" s="1"/>
  <c r="F10" i="7"/>
  <c r="F13" i="7" s="1"/>
  <c r="D10" i="7"/>
  <c r="D13" i="7" s="1"/>
  <c r="O5" i="7"/>
  <c r="N5" i="7"/>
  <c r="M5" i="7"/>
  <c r="L5" i="7"/>
  <c r="K5" i="7"/>
  <c r="J5" i="7"/>
  <c r="I5" i="7"/>
  <c r="H5" i="7"/>
  <c r="G5" i="7"/>
  <c r="F5" i="7"/>
  <c r="E5" i="7"/>
  <c r="D5" i="7"/>
  <c r="O4" i="7"/>
  <c r="N4" i="7"/>
  <c r="M4" i="7"/>
  <c r="L4" i="7"/>
  <c r="K4" i="7"/>
  <c r="J4" i="7"/>
  <c r="I4" i="7"/>
  <c r="H4" i="7"/>
  <c r="G4" i="7"/>
  <c r="F4" i="7"/>
  <c r="E4" i="7"/>
  <c r="D4" i="7"/>
  <c r="Q3" i="7"/>
  <c r="Q2" i="7"/>
  <c r="O47" i="6"/>
  <c r="N47" i="6"/>
  <c r="M47" i="6"/>
  <c r="L47" i="6"/>
  <c r="B43" i="6"/>
  <c r="K47" i="6"/>
  <c r="K38" i="6"/>
  <c r="R48" i="6"/>
  <c r="Q49" i="6"/>
  <c r="J47" i="6"/>
  <c r="Q48" i="5"/>
  <c r="I47" i="6"/>
  <c r="H47" i="6"/>
  <c r="G47" i="6"/>
  <c r="F47" i="6"/>
  <c r="F44" i="6"/>
  <c r="E47" i="6"/>
  <c r="D44" i="6"/>
  <c r="B14" i="1" s="1"/>
  <c r="E44" i="6"/>
  <c r="C14" i="1" s="1"/>
  <c r="G44" i="6"/>
  <c r="E14" i="1" s="1"/>
  <c r="H44" i="6"/>
  <c r="F14" i="1" s="1"/>
  <c r="I44" i="6"/>
  <c r="G14" i="1" s="1"/>
  <c r="J44" i="6"/>
  <c r="H14" i="1" s="1"/>
  <c r="K44" i="6"/>
  <c r="I14" i="1" s="1"/>
  <c r="L44" i="6"/>
  <c r="J14" i="1" s="1"/>
  <c r="M44" i="6"/>
  <c r="K14" i="1" s="1"/>
  <c r="N44" i="6"/>
  <c r="D46" i="5"/>
  <c r="E46" i="5"/>
  <c r="L14" i="1"/>
  <c r="C15" i="1"/>
  <c r="D15" i="1"/>
  <c r="E15" i="1"/>
  <c r="F15" i="1"/>
  <c r="G15" i="1"/>
  <c r="H15" i="1"/>
  <c r="I15" i="1"/>
  <c r="J15" i="1"/>
  <c r="K15" i="1"/>
  <c r="L15" i="1"/>
  <c r="M15" i="1"/>
  <c r="B15" i="1"/>
  <c r="P47" i="6"/>
  <c r="D47" i="6"/>
  <c r="O44" i="6"/>
  <c r="M14" i="1" s="1"/>
  <c r="O40" i="6"/>
  <c r="N40" i="6"/>
  <c r="M40" i="6"/>
  <c r="L40" i="6"/>
  <c r="K40" i="6"/>
  <c r="J40" i="6"/>
  <c r="I40" i="6"/>
  <c r="H40" i="6"/>
  <c r="G40" i="6"/>
  <c r="F40" i="6"/>
  <c r="E40" i="6"/>
  <c r="D40" i="6"/>
  <c r="Q39" i="6"/>
  <c r="O38" i="6"/>
  <c r="O41" i="6" s="1"/>
  <c r="N38" i="6"/>
  <c r="N41" i="6" s="1"/>
  <c r="M38" i="6"/>
  <c r="M41" i="6" s="1"/>
  <c r="L38" i="6"/>
  <c r="L41" i="6" s="1"/>
  <c r="K41" i="6"/>
  <c r="J38" i="6"/>
  <c r="J41" i="6" s="1"/>
  <c r="I38" i="6"/>
  <c r="I41" i="6" s="1"/>
  <c r="H38" i="6"/>
  <c r="H41" i="6" s="1"/>
  <c r="G38" i="6"/>
  <c r="G41" i="6" s="1"/>
  <c r="F38" i="6"/>
  <c r="F41" i="6" s="1"/>
  <c r="E38" i="6"/>
  <c r="E41" i="6" s="1"/>
  <c r="D38" i="6"/>
  <c r="O34" i="6"/>
  <c r="N34" i="6"/>
  <c r="M34" i="6"/>
  <c r="L34" i="6"/>
  <c r="K34" i="6"/>
  <c r="J34" i="6"/>
  <c r="I34" i="6"/>
  <c r="H34" i="6"/>
  <c r="G34" i="6"/>
  <c r="F34" i="6"/>
  <c r="E34" i="6"/>
  <c r="D34" i="6"/>
  <c r="Q33" i="6"/>
  <c r="O32" i="6"/>
  <c r="O35" i="6" s="1"/>
  <c r="N32" i="6"/>
  <c r="N35" i="6" s="1"/>
  <c r="M32" i="6"/>
  <c r="M35" i="6" s="1"/>
  <c r="L32" i="6"/>
  <c r="L35" i="6" s="1"/>
  <c r="K32" i="6"/>
  <c r="K35" i="6" s="1"/>
  <c r="J32" i="6"/>
  <c r="J35" i="6" s="1"/>
  <c r="I32" i="6"/>
  <c r="I35" i="6" s="1"/>
  <c r="H32" i="6"/>
  <c r="H35" i="6" s="1"/>
  <c r="G32" i="6"/>
  <c r="G35" i="6" s="1"/>
  <c r="F32" i="6"/>
  <c r="F35" i="6" s="1"/>
  <c r="E32" i="6"/>
  <c r="D32" i="6"/>
  <c r="D35" i="6" s="1"/>
  <c r="O27" i="6"/>
  <c r="N27" i="6"/>
  <c r="M27" i="6"/>
  <c r="L27" i="6"/>
  <c r="K27" i="6"/>
  <c r="J27" i="6"/>
  <c r="I27" i="6"/>
  <c r="H27" i="6"/>
  <c r="G27" i="6"/>
  <c r="F27" i="6"/>
  <c r="E27" i="6"/>
  <c r="D27" i="6"/>
  <c r="Q26" i="6"/>
  <c r="O25" i="6"/>
  <c r="O28" i="6" s="1"/>
  <c r="N25" i="6"/>
  <c r="N28" i="6" s="1"/>
  <c r="M25" i="6"/>
  <c r="M28" i="6" s="1"/>
  <c r="L25" i="6"/>
  <c r="L28" i="6" s="1"/>
  <c r="K25" i="6"/>
  <c r="K28" i="6" s="1"/>
  <c r="J25" i="6"/>
  <c r="J28" i="6" s="1"/>
  <c r="I25" i="6"/>
  <c r="I28" i="6" s="1"/>
  <c r="H25" i="6"/>
  <c r="H28" i="6" s="1"/>
  <c r="G25" i="6"/>
  <c r="G28" i="6" s="1"/>
  <c r="F25" i="6"/>
  <c r="F28" i="6" s="1"/>
  <c r="E25" i="6"/>
  <c r="E28" i="6" s="1"/>
  <c r="D25" i="6"/>
  <c r="D28" i="6" s="1"/>
  <c r="O19" i="6"/>
  <c r="N19" i="6"/>
  <c r="M19" i="6"/>
  <c r="L19" i="6"/>
  <c r="K19" i="6"/>
  <c r="J19" i="6"/>
  <c r="I19" i="6"/>
  <c r="H19" i="6"/>
  <c r="G19" i="6"/>
  <c r="F19" i="6"/>
  <c r="E19" i="6"/>
  <c r="D19" i="6"/>
  <c r="Q18" i="6"/>
  <c r="O17" i="6"/>
  <c r="O20" i="6" s="1"/>
  <c r="N17" i="6"/>
  <c r="N20" i="6" s="1"/>
  <c r="M17" i="6"/>
  <c r="M20" i="6" s="1"/>
  <c r="L17" i="6"/>
  <c r="L20" i="6" s="1"/>
  <c r="K17" i="6"/>
  <c r="K20" i="6" s="1"/>
  <c r="J17" i="6"/>
  <c r="J20" i="6" s="1"/>
  <c r="I17" i="6"/>
  <c r="I20" i="6" s="1"/>
  <c r="H17" i="6"/>
  <c r="H20" i="6" s="1"/>
  <c r="G17" i="6"/>
  <c r="G20" i="6" s="1"/>
  <c r="F17" i="6"/>
  <c r="F20" i="6" s="1"/>
  <c r="E17" i="6"/>
  <c r="E20" i="6" s="1"/>
  <c r="D17" i="6"/>
  <c r="D20" i="6" s="1"/>
  <c r="O12" i="6"/>
  <c r="N12" i="6"/>
  <c r="M12" i="6"/>
  <c r="L12" i="6"/>
  <c r="K12" i="6"/>
  <c r="J12" i="6"/>
  <c r="I12" i="6"/>
  <c r="H12" i="6"/>
  <c r="G12" i="6"/>
  <c r="F12" i="6"/>
  <c r="E12" i="6"/>
  <c r="D12" i="6"/>
  <c r="Q11" i="6"/>
  <c r="O10" i="6"/>
  <c r="O13" i="6" s="1"/>
  <c r="N10" i="6"/>
  <c r="M10" i="6"/>
  <c r="L10" i="6"/>
  <c r="L13" i="6" s="1"/>
  <c r="K10" i="6"/>
  <c r="K13" i="6" s="1"/>
  <c r="J10" i="6"/>
  <c r="J43" i="6" s="1"/>
  <c r="I10" i="6"/>
  <c r="H10" i="6"/>
  <c r="G10" i="6"/>
  <c r="G13" i="6" s="1"/>
  <c r="F10" i="6"/>
  <c r="F43" i="6" s="1"/>
  <c r="E10" i="6"/>
  <c r="D10" i="6"/>
  <c r="O5" i="6"/>
  <c r="N5" i="6"/>
  <c r="M5" i="6"/>
  <c r="L5" i="6"/>
  <c r="K5" i="6"/>
  <c r="J5" i="6"/>
  <c r="I5" i="6"/>
  <c r="H5" i="6"/>
  <c r="G5" i="6"/>
  <c r="F5" i="6"/>
  <c r="E5" i="6"/>
  <c r="D5" i="6"/>
  <c r="O4" i="6"/>
  <c r="N4" i="6"/>
  <c r="M4" i="6"/>
  <c r="L4" i="6"/>
  <c r="K4" i="6"/>
  <c r="J4" i="6"/>
  <c r="I4" i="6"/>
  <c r="H4" i="6"/>
  <c r="G4" i="6"/>
  <c r="F4" i="6"/>
  <c r="E4" i="6"/>
  <c r="D4" i="6"/>
  <c r="Q3" i="6"/>
  <c r="Q2" i="6"/>
  <c r="C5" i="1"/>
  <c r="D5" i="1"/>
  <c r="E5" i="1"/>
  <c r="F5" i="1"/>
  <c r="G5" i="1"/>
  <c r="H5" i="1"/>
  <c r="I5" i="1"/>
  <c r="J5" i="1"/>
  <c r="K5" i="1"/>
  <c r="L5" i="1"/>
  <c r="M5" i="1"/>
  <c r="B5" i="1"/>
  <c r="C3" i="1"/>
  <c r="D3" i="1"/>
  <c r="E3" i="1"/>
  <c r="F3" i="1"/>
  <c r="G3" i="1"/>
  <c r="H3" i="1"/>
  <c r="I3" i="1"/>
  <c r="J3" i="1"/>
  <c r="K3" i="1"/>
  <c r="L3" i="1"/>
  <c r="M3" i="1"/>
  <c r="B3" i="1"/>
  <c r="M4" i="1"/>
  <c r="L4" i="1"/>
  <c r="K4" i="1"/>
  <c r="J4" i="1"/>
  <c r="I4" i="1"/>
  <c r="H4" i="1"/>
  <c r="G4" i="1"/>
  <c r="F4" i="1"/>
  <c r="E4" i="1"/>
  <c r="D4" i="1"/>
  <c r="C4" i="1"/>
  <c r="B4" i="1"/>
  <c r="B43" i="5"/>
  <c r="P43" i="5" s="1"/>
  <c r="O44" i="5"/>
  <c r="N44" i="5"/>
  <c r="O47" i="5"/>
  <c r="N47" i="5"/>
  <c r="I41" i="5"/>
  <c r="O40" i="5"/>
  <c r="N40" i="5"/>
  <c r="M40" i="5"/>
  <c r="L40" i="5"/>
  <c r="K40" i="5"/>
  <c r="J40" i="5"/>
  <c r="I40" i="5"/>
  <c r="H40" i="5"/>
  <c r="G40" i="5"/>
  <c r="F40" i="5"/>
  <c r="E40" i="5"/>
  <c r="D40" i="5"/>
  <c r="Q39" i="5"/>
  <c r="O38" i="5"/>
  <c r="O41" i="5" s="1"/>
  <c r="N38" i="5"/>
  <c r="N41" i="5" s="1"/>
  <c r="M38" i="5"/>
  <c r="M41" i="5" s="1"/>
  <c r="L38" i="5"/>
  <c r="L41" i="5" s="1"/>
  <c r="K38" i="5"/>
  <c r="K41" i="5" s="1"/>
  <c r="J38" i="5"/>
  <c r="J41" i="5" s="1"/>
  <c r="I38" i="5"/>
  <c r="H38" i="5"/>
  <c r="H41" i="5" s="1"/>
  <c r="G38" i="5"/>
  <c r="G41" i="5" s="1"/>
  <c r="F38" i="5"/>
  <c r="F41" i="5" s="1"/>
  <c r="E38" i="5"/>
  <c r="E41" i="5" s="1"/>
  <c r="D38" i="5"/>
  <c r="Q38" i="5" s="1"/>
  <c r="P41" i="5" s="1"/>
  <c r="B10" i="1"/>
  <c r="C10" i="1"/>
  <c r="D10" i="1"/>
  <c r="E10" i="1"/>
  <c r="F10" i="1"/>
  <c r="G10" i="1"/>
  <c r="H10" i="1"/>
  <c r="I10" i="1"/>
  <c r="J10" i="1"/>
  <c r="K10" i="1"/>
  <c r="L10" i="1"/>
  <c r="M10" i="1"/>
  <c r="M47" i="5"/>
  <c r="L47" i="5"/>
  <c r="Q49" i="5"/>
  <c r="K47" i="5"/>
  <c r="Q44" i="6" l="1"/>
  <c r="H43" i="6"/>
  <c r="D43" i="6"/>
  <c r="I43" i="6"/>
  <c r="D14" i="1"/>
  <c r="E43" i="6"/>
  <c r="G43" i="6"/>
  <c r="E13" i="1" s="1"/>
  <c r="L43" i="6"/>
  <c r="J13" i="1" s="1"/>
  <c r="N3" i="1"/>
  <c r="N10" i="1"/>
  <c r="D43" i="7"/>
  <c r="B18" i="1" s="1"/>
  <c r="E20" i="7"/>
  <c r="E19" i="7"/>
  <c r="Q18" i="7"/>
  <c r="Q44" i="7"/>
  <c r="B19" i="1"/>
  <c r="N20" i="1"/>
  <c r="E43" i="7"/>
  <c r="M43" i="7"/>
  <c r="Q32" i="7"/>
  <c r="P35" i="7" s="1"/>
  <c r="H43" i="7"/>
  <c r="Q17" i="7"/>
  <c r="P20" i="7" s="1"/>
  <c r="I43" i="7"/>
  <c r="D20" i="7"/>
  <c r="J43" i="7"/>
  <c r="J45" i="7" s="1"/>
  <c r="K43" i="7"/>
  <c r="K46" i="7" s="1"/>
  <c r="L43" i="7"/>
  <c r="L46" i="7" s="1"/>
  <c r="M46" i="7"/>
  <c r="M45" i="7"/>
  <c r="H13" i="7"/>
  <c r="N43" i="7"/>
  <c r="P5" i="7"/>
  <c r="I13" i="7"/>
  <c r="D35" i="7"/>
  <c r="G43" i="7"/>
  <c r="E18" i="1" s="1"/>
  <c r="O43" i="7"/>
  <c r="Q10" i="7"/>
  <c r="P13" i="7" s="1"/>
  <c r="F43" i="7"/>
  <c r="D18" i="1" s="1"/>
  <c r="J13" i="7"/>
  <c r="D28" i="7"/>
  <c r="L28" i="7"/>
  <c r="Q38" i="7"/>
  <c r="P41" i="7" s="1"/>
  <c r="Q25" i="7"/>
  <c r="P28" i="7" s="1"/>
  <c r="E13" i="7"/>
  <c r="M13" i="7"/>
  <c r="N43" i="6"/>
  <c r="L13" i="1" s="1"/>
  <c r="M43" i="6"/>
  <c r="Q25" i="6"/>
  <c r="P28" i="6" s="1"/>
  <c r="Q17" i="6"/>
  <c r="P20" i="6" s="1"/>
  <c r="Q38" i="6"/>
  <c r="P41" i="6" s="1"/>
  <c r="Q32" i="6"/>
  <c r="P35" i="6" s="1"/>
  <c r="Q10" i="6"/>
  <c r="P13" i="6" s="1"/>
  <c r="K43" i="6"/>
  <c r="K46" i="6" s="1"/>
  <c r="H13" i="1"/>
  <c r="I45" i="6"/>
  <c r="H45" i="6"/>
  <c r="O43" i="6"/>
  <c r="M13" i="1" s="1"/>
  <c r="D13" i="1"/>
  <c r="N15" i="1"/>
  <c r="E35" i="6"/>
  <c r="D46" i="6"/>
  <c r="E13" i="6"/>
  <c r="F13" i="6"/>
  <c r="J13" i="6"/>
  <c r="M13" i="6"/>
  <c r="N13" i="6"/>
  <c r="H13" i="6"/>
  <c r="D41" i="6"/>
  <c r="P5" i="6"/>
  <c r="I13" i="6"/>
  <c r="D13" i="6"/>
  <c r="N5" i="1"/>
  <c r="D41" i="5"/>
  <c r="R17" i="4"/>
  <c r="I45" i="7" l="1"/>
  <c r="G18" i="1"/>
  <c r="H45" i="7"/>
  <c r="F18" i="1"/>
  <c r="E45" i="7"/>
  <c r="C18" i="1"/>
  <c r="D45" i="7"/>
  <c r="D46" i="7"/>
  <c r="E46" i="7"/>
  <c r="I46" i="7"/>
  <c r="J46" i="7"/>
  <c r="H46" i="7"/>
  <c r="K45" i="7"/>
  <c r="L45" i="7"/>
  <c r="G45" i="7"/>
  <c r="G46" i="7"/>
  <c r="Q43" i="7"/>
  <c r="P43" i="7" s="1"/>
  <c r="N46" i="7"/>
  <c r="N45" i="7"/>
  <c r="O45" i="7"/>
  <c r="O46" i="7"/>
  <c r="F46" i="7"/>
  <c r="F45" i="7"/>
  <c r="Q43" i="6"/>
  <c r="P43" i="6" s="1"/>
  <c r="G13" i="1"/>
  <c r="F46" i="6"/>
  <c r="F45" i="6"/>
  <c r="J46" i="6"/>
  <c r="I46" i="6"/>
  <c r="E45" i="6"/>
  <c r="C13" i="1"/>
  <c r="J45" i="6"/>
  <c r="N45" i="6"/>
  <c r="I13" i="1"/>
  <c r="H46" i="6"/>
  <c r="F13" i="1"/>
  <c r="N46" i="6"/>
  <c r="D45" i="6"/>
  <c r="B13" i="1"/>
  <c r="M46" i="6"/>
  <c r="K13" i="1"/>
  <c r="K45" i="6"/>
  <c r="E46" i="6"/>
  <c r="M45" i="6"/>
  <c r="L46" i="6"/>
  <c r="L45" i="6"/>
  <c r="G45" i="6"/>
  <c r="G46" i="6"/>
  <c r="O45" i="6"/>
  <c r="O46" i="6"/>
  <c r="J47" i="5"/>
  <c r="I47" i="5"/>
  <c r="G47" i="5"/>
  <c r="H47" i="5"/>
  <c r="F47" i="5"/>
  <c r="P47" i="5"/>
  <c r="E47" i="5"/>
  <c r="D47" i="5"/>
  <c r="D44" i="5"/>
  <c r="B9" i="1" s="1"/>
  <c r="E44" i="5"/>
  <c r="C9" i="1" s="1"/>
  <c r="F44" i="5"/>
  <c r="D9" i="1" s="1"/>
  <c r="G44" i="5"/>
  <c r="E9" i="1" s="1"/>
  <c r="H44" i="5"/>
  <c r="F9" i="1" s="1"/>
  <c r="I44" i="5"/>
  <c r="G9" i="1" s="1"/>
  <c r="J44" i="5"/>
  <c r="H9" i="1" s="1"/>
  <c r="K44" i="5"/>
  <c r="I9" i="1" s="1"/>
  <c r="L44" i="5"/>
  <c r="J9" i="1" s="1"/>
  <c r="M44" i="5"/>
  <c r="K9" i="1" s="1"/>
  <c r="L9" i="1"/>
  <c r="M9" i="1"/>
  <c r="D19" i="5"/>
  <c r="O34" i="5"/>
  <c r="N34" i="5"/>
  <c r="M34" i="5"/>
  <c r="L34" i="5"/>
  <c r="K34" i="5"/>
  <c r="J34" i="5"/>
  <c r="I34" i="5"/>
  <c r="H34" i="5"/>
  <c r="G34" i="5"/>
  <c r="F34" i="5"/>
  <c r="E34" i="5"/>
  <c r="D34" i="5"/>
  <c r="Q33" i="5"/>
  <c r="O32" i="5"/>
  <c r="O35" i="5" s="1"/>
  <c r="N32" i="5"/>
  <c r="N35" i="5" s="1"/>
  <c r="M32" i="5"/>
  <c r="M35" i="5" s="1"/>
  <c r="L32" i="5"/>
  <c r="L35" i="5" s="1"/>
  <c r="K32" i="5"/>
  <c r="K35" i="5" s="1"/>
  <c r="J32" i="5"/>
  <c r="J35" i="5" s="1"/>
  <c r="I32" i="5"/>
  <c r="I35" i="5" s="1"/>
  <c r="H32" i="5"/>
  <c r="H35" i="5" s="1"/>
  <c r="G32" i="5"/>
  <c r="G35" i="5" s="1"/>
  <c r="F32" i="5"/>
  <c r="F35" i="5" s="1"/>
  <c r="E32" i="5"/>
  <c r="E35" i="5" s="1"/>
  <c r="D32" i="5"/>
  <c r="O27" i="5"/>
  <c r="N27" i="5"/>
  <c r="M27" i="5"/>
  <c r="L27" i="5"/>
  <c r="K27" i="5"/>
  <c r="J27" i="5"/>
  <c r="I27" i="5"/>
  <c r="H27" i="5"/>
  <c r="G27" i="5"/>
  <c r="F27" i="5"/>
  <c r="E27" i="5"/>
  <c r="D27" i="5"/>
  <c r="Q26" i="5"/>
  <c r="O25" i="5"/>
  <c r="O28" i="5" s="1"/>
  <c r="N25" i="5"/>
  <c r="N28" i="5" s="1"/>
  <c r="M25" i="5"/>
  <c r="M28" i="5" s="1"/>
  <c r="L25" i="5"/>
  <c r="L28" i="5" s="1"/>
  <c r="K25" i="5"/>
  <c r="K28" i="5" s="1"/>
  <c r="J25" i="5"/>
  <c r="J28" i="5" s="1"/>
  <c r="I25" i="5"/>
  <c r="I28" i="5" s="1"/>
  <c r="H25" i="5"/>
  <c r="H28" i="5" s="1"/>
  <c r="G25" i="5"/>
  <c r="G28" i="5" s="1"/>
  <c r="F25" i="5"/>
  <c r="F28" i="5" s="1"/>
  <c r="E25" i="5"/>
  <c r="E28" i="5" s="1"/>
  <c r="D25" i="5"/>
  <c r="O19" i="5"/>
  <c r="N19" i="5"/>
  <c r="M19" i="5"/>
  <c r="L19" i="5"/>
  <c r="K19" i="5"/>
  <c r="J19" i="5"/>
  <c r="I19" i="5"/>
  <c r="H19" i="5"/>
  <c r="G19" i="5"/>
  <c r="F19" i="5"/>
  <c r="E19" i="5"/>
  <c r="Q18" i="5"/>
  <c r="O17" i="5"/>
  <c r="O20" i="5" s="1"/>
  <c r="N17" i="5"/>
  <c r="N20" i="5" s="1"/>
  <c r="M17" i="5"/>
  <c r="M20" i="5" s="1"/>
  <c r="L17" i="5"/>
  <c r="L20" i="5" s="1"/>
  <c r="K17" i="5"/>
  <c r="K20" i="5" s="1"/>
  <c r="J17" i="5"/>
  <c r="J20" i="5" s="1"/>
  <c r="I17" i="5"/>
  <c r="I20" i="5" s="1"/>
  <c r="H17" i="5"/>
  <c r="H20" i="5" s="1"/>
  <c r="G17" i="5"/>
  <c r="G20" i="5" s="1"/>
  <c r="F17" i="5"/>
  <c r="F20" i="5" s="1"/>
  <c r="E17" i="5"/>
  <c r="E20" i="5" s="1"/>
  <c r="D17" i="5"/>
  <c r="D4" i="5"/>
  <c r="P4" i="4"/>
  <c r="D12" i="5"/>
  <c r="O12" i="5"/>
  <c r="N12" i="5"/>
  <c r="M12" i="5"/>
  <c r="L12" i="5"/>
  <c r="K12" i="5"/>
  <c r="J12" i="5"/>
  <c r="I12" i="5"/>
  <c r="H12" i="5"/>
  <c r="G12" i="5"/>
  <c r="F12" i="5"/>
  <c r="E12" i="5"/>
  <c r="E4" i="5"/>
  <c r="F4" i="5"/>
  <c r="G4" i="5"/>
  <c r="H4" i="5"/>
  <c r="I4" i="5"/>
  <c r="J4" i="5"/>
  <c r="K4" i="5"/>
  <c r="L4" i="5"/>
  <c r="M4" i="5"/>
  <c r="N4" i="5"/>
  <c r="O4" i="5"/>
  <c r="Q3" i="5"/>
  <c r="E5" i="5"/>
  <c r="G5" i="5"/>
  <c r="K5" i="5"/>
  <c r="M5" i="5"/>
  <c r="O5" i="5"/>
  <c r="Q11" i="5"/>
  <c r="O10" i="5"/>
  <c r="O43" i="5" s="1"/>
  <c r="O46" i="5" s="1"/>
  <c r="N10" i="5"/>
  <c r="M10" i="5"/>
  <c r="L10" i="5"/>
  <c r="K10" i="5"/>
  <c r="J10" i="5"/>
  <c r="J13" i="5" s="1"/>
  <c r="I10" i="5"/>
  <c r="I13" i="5" s="1"/>
  <c r="H10" i="5"/>
  <c r="G10" i="5"/>
  <c r="G13" i="5" s="1"/>
  <c r="F10" i="5"/>
  <c r="E10" i="5"/>
  <c r="E13" i="5" s="1"/>
  <c r="D10" i="5"/>
  <c r="N5" i="5"/>
  <c r="J5" i="5"/>
  <c r="I5" i="5"/>
  <c r="H5" i="5"/>
  <c r="F5" i="5"/>
  <c r="Q2" i="5"/>
  <c r="P5" i="5" s="1"/>
  <c r="O14" i="4"/>
  <c r="Q14" i="4"/>
  <c r="G13" i="4"/>
  <c r="B13" i="4"/>
  <c r="E13" i="4"/>
  <c r="F13" i="4"/>
  <c r="D13" i="4"/>
  <c r="E14" i="4"/>
  <c r="F14" i="4"/>
  <c r="G14" i="4"/>
  <c r="H14" i="4"/>
  <c r="I14" i="4"/>
  <c r="J14" i="4"/>
  <c r="K14" i="4"/>
  <c r="L14" i="4"/>
  <c r="M14" i="4"/>
  <c r="N14" i="4"/>
  <c r="D14" i="4"/>
  <c r="F9" i="4"/>
  <c r="F11" i="4" s="1"/>
  <c r="Q16" i="4"/>
  <c r="P16" i="4" s="1"/>
  <c r="Q18" i="4"/>
  <c r="Q10" i="4"/>
  <c r="O9" i="4"/>
  <c r="O11" i="4" s="1"/>
  <c r="N9" i="4"/>
  <c r="N11" i="4" s="1"/>
  <c r="M9" i="4"/>
  <c r="M11" i="4" s="1"/>
  <c r="L9" i="4"/>
  <c r="L13" i="4" s="1"/>
  <c r="K9" i="4"/>
  <c r="K11" i="4" s="1"/>
  <c r="J9" i="4"/>
  <c r="J11" i="4" s="1"/>
  <c r="I9" i="4"/>
  <c r="I11" i="4" s="1"/>
  <c r="H9" i="4"/>
  <c r="H11" i="4" s="1"/>
  <c r="G9" i="4"/>
  <c r="G11" i="4" s="1"/>
  <c r="E9" i="4"/>
  <c r="E11" i="4" s="1"/>
  <c r="D9" i="4"/>
  <c r="D11" i="4" s="1"/>
  <c r="O4" i="4"/>
  <c r="N4" i="4"/>
  <c r="M4" i="4"/>
  <c r="L4" i="4"/>
  <c r="K4" i="4"/>
  <c r="J4" i="4"/>
  <c r="I4" i="4"/>
  <c r="H4" i="4"/>
  <c r="G4" i="4"/>
  <c r="F4" i="4"/>
  <c r="E4" i="4"/>
  <c r="D4" i="4"/>
  <c r="Q3" i="4"/>
  <c r="Q2" i="4"/>
  <c r="N18" i="1" l="1"/>
  <c r="N13" i="1"/>
  <c r="D43" i="5"/>
  <c r="M13" i="5"/>
  <c r="M43" i="5"/>
  <c r="N13" i="5"/>
  <c r="N43" i="5"/>
  <c r="N46" i="5" s="1"/>
  <c r="B8" i="1"/>
  <c r="Q44" i="5"/>
  <c r="M8" i="1"/>
  <c r="L43" i="5"/>
  <c r="K43" i="5"/>
  <c r="H43" i="5"/>
  <c r="F43" i="5"/>
  <c r="G43" i="5"/>
  <c r="J43" i="5"/>
  <c r="I43" i="5"/>
  <c r="Q32" i="5"/>
  <c r="P35" i="5" s="1"/>
  <c r="E43" i="5"/>
  <c r="D35" i="5"/>
  <c r="Q25" i="5"/>
  <c r="P28" i="5" s="1"/>
  <c r="D28" i="5"/>
  <c r="Q17" i="5"/>
  <c r="P20" i="5" s="1"/>
  <c r="D20" i="5"/>
  <c r="O13" i="5"/>
  <c r="D13" i="5"/>
  <c r="K13" i="5"/>
  <c r="O45" i="5"/>
  <c r="L5" i="5"/>
  <c r="D5" i="5"/>
  <c r="D45" i="5"/>
  <c r="F13" i="5"/>
  <c r="H13" i="5"/>
  <c r="L13" i="5"/>
  <c r="Q10" i="5"/>
  <c r="P13" i="5" s="1"/>
  <c r="O13" i="4"/>
  <c r="O15" i="4" s="1"/>
  <c r="N13" i="4"/>
  <c r="N15" i="4" s="1"/>
  <c r="M13" i="4"/>
  <c r="M15" i="4" s="1"/>
  <c r="L11" i="4"/>
  <c r="K13" i="4"/>
  <c r="K15" i="4" s="1"/>
  <c r="J13" i="4"/>
  <c r="J15" i="4" s="1"/>
  <c r="I13" i="4"/>
  <c r="I15" i="4" s="1"/>
  <c r="H13" i="4"/>
  <c r="H15" i="4" s="1"/>
  <c r="D15" i="4"/>
  <c r="F15" i="4"/>
  <c r="L15" i="4"/>
  <c r="Q9" i="4"/>
  <c r="E15" i="4"/>
  <c r="G15" i="4"/>
  <c r="L8" i="1" l="1"/>
  <c r="L45" i="5"/>
  <c r="L46" i="5"/>
  <c r="J8" i="1"/>
  <c r="I45" i="5"/>
  <c r="G8" i="1"/>
  <c r="I46" i="5"/>
  <c r="J45" i="5"/>
  <c r="J46" i="5"/>
  <c r="H8" i="1"/>
  <c r="M46" i="5"/>
  <c r="K8" i="1"/>
  <c r="H45" i="5"/>
  <c r="F8" i="1"/>
  <c r="H46" i="5"/>
  <c r="K45" i="5"/>
  <c r="I8" i="1"/>
  <c r="K46" i="5"/>
  <c r="E8" i="1"/>
  <c r="G46" i="5"/>
  <c r="E45" i="5"/>
  <c r="C8" i="1"/>
  <c r="F45" i="5"/>
  <c r="D8" i="1"/>
  <c r="F46" i="5"/>
  <c r="N45" i="5"/>
  <c r="Q43" i="5"/>
  <c r="G45" i="5"/>
  <c r="M45" i="5"/>
  <c r="P11" i="4"/>
  <c r="Q13" i="4"/>
  <c r="P13" i="4" s="1"/>
  <c r="N8" i="1" l="1"/>
</calcChain>
</file>

<file path=xl/sharedStrings.xml><?xml version="1.0" encoding="utf-8"?>
<sst xmlns="http://schemas.openxmlformats.org/spreadsheetml/2006/main" count="370" uniqueCount="70">
  <si>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</si>
  <si>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</si>
  <si>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</si>
  <si>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</si>
  <si>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</si>
  <si>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</si>
  <si>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</si>
  <si>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</si>
  <si>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</si>
  <si>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</si>
  <si>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</si>
  <si>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</si>
  <si>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Bemerkung</t>
  </si>
  <si>
    <t>Sepzifischer Ertrag in kWh/kWp</t>
  </si>
  <si>
    <t>Total in kWh</t>
  </si>
  <si>
    <t>Erträge IST</t>
  </si>
  <si>
    <t>Abweichung SOLL - IST in %</t>
  </si>
  <si>
    <t>Erträge IST ZwTotal</t>
  </si>
  <si>
    <t>Globalstrahlung W/m2*Jahr</t>
  </si>
  <si>
    <t>Sonnenscheindauer in h</t>
  </si>
  <si>
    <t>Anlagen in kWp</t>
  </si>
  <si>
    <t>Prognose SOLL*</t>
  </si>
  <si>
    <t>*</t>
  </si>
  <si>
    <t>Daten 2022</t>
  </si>
  <si>
    <t>statische Prognose-Berechnung (berücksichtigt 20 Jahres-Statistik)</t>
  </si>
  <si>
    <t>Erträge IST (kWh)</t>
  </si>
  <si>
    <t>Prognose SOLL (kWh)</t>
  </si>
  <si>
    <t>Hoffeld 28, H2</t>
  </si>
  <si>
    <t>Hoffeld 32, H3</t>
  </si>
  <si>
    <t>Hoffeld 36, H4</t>
  </si>
  <si>
    <t>Hoffeld 40, H5</t>
  </si>
  <si>
    <t>Kiefernweg 8-12, K5.2</t>
  </si>
  <si>
    <t>Referenz-Anlage</t>
  </si>
  <si>
    <t>ABZ Birchstrasse 111</t>
  </si>
  <si>
    <t>BBZ 4. NBE Total</t>
  </si>
  <si>
    <t>Probleme mit Strang 2 Optimizer</t>
  </si>
  <si>
    <t>jährl. Degradation 0.5%</t>
  </si>
  <si>
    <t>Daten 2023</t>
  </si>
  <si>
    <t>Oberwiesenstr. 1</t>
  </si>
  <si>
    <t>Künzlistr. 47-51</t>
  </si>
  <si>
    <t>Wehntalerstr. 188</t>
  </si>
  <si>
    <t>BBZ alle Anlagen</t>
  </si>
  <si>
    <t>Künzlistr. 41-45</t>
  </si>
  <si>
    <t>Künzlistr. 35-39</t>
  </si>
  <si>
    <t>Wehntalerstr. 180</t>
  </si>
  <si>
    <t>Wehntalerstr. 172</t>
  </si>
  <si>
    <t>Künzlistr. 21-25</t>
  </si>
  <si>
    <t>Künzlistr. 15</t>
  </si>
  <si>
    <t>Wehntalerstr. 158</t>
  </si>
  <si>
    <t>Spezifischer Ertrag kWh/kWp</t>
  </si>
  <si>
    <t>ABZ Birchstrasse 111 Spez. Ertrag</t>
  </si>
  <si>
    <t>In Betrieb seit Mitte Februar</t>
  </si>
  <si>
    <t>Unterer Rain 2-4</t>
  </si>
  <si>
    <t>Langäristrasse 2</t>
  </si>
  <si>
    <t>In Betrieb seit Ende Oktober</t>
  </si>
  <si>
    <t>Total</t>
  </si>
  <si>
    <t>Erträge IST (kWh) im 2023</t>
  </si>
  <si>
    <t>Prognose SOLL (kWh) im 2023</t>
  </si>
  <si>
    <t>Sonnenscheindauer in h im 2023</t>
  </si>
  <si>
    <t>Sonnenscheindauer in h im 2022</t>
  </si>
  <si>
    <t>Prognose SOLL (kWh) im 2022</t>
  </si>
  <si>
    <t>Erträge IST (kWh) im 2022</t>
  </si>
  <si>
    <t>Daten 2024</t>
  </si>
  <si>
    <t>Prognose SOLL (kWh) im 2024</t>
  </si>
  <si>
    <t>Sonnenscheindauer in h im 2024</t>
  </si>
  <si>
    <t>Erträge IST (kWh) im 2024</t>
  </si>
  <si>
    <t>Daten 2025</t>
  </si>
  <si>
    <t>Erträge IST (kWh) im 2025</t>
  </si>
  <si>
    <t>Prognose SOLL (kWh) im 2025</t>
  </si>
  <si>
    <t>Sonnenscheindauer in h 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</si>
</sst>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1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164" fontId="4" fillId="5" borderId="0" xfId="0" applyNumberFormat="1" applyFont="1" applyFill="1"/>
    <xf numFmtId="0" fontId="0" fillId="6" borderId="0" xfId="0" applyFill="1"/>
    <xf numFmtId="0" fontId="0" fillId="0" borderId="0" xfId="0" applyAlignment="1">
      <alignment horizontal="right"/>
    </xf>
    <xf numFmtId="0" fontId="1" fillId="2" borderId="3" xfId="1" applyNumberFormat="1" applyFont="1" applyFill="1" applyBorder="1" applyAlignment="1">
      <alignment horizontal="center" wrapText="1"/>
    </xf>
    <xf numFmtId="0" fontId="0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2" borderId="3" xfId="0" applyFont="1" applyFill="1" applyBorder="1"/>
    <xf numFmtId="0" fontId="1" fillId="0" borderId="3" xfId="0" applyFont="1" applyBorder="1"/>
    <xf numFmtId="0" fontId="1" fillId="2" borderId="3" xfId="0" applyFont="1" applyFill="1" applyBorder="1" applyAlignment="1">
      <alignment wrapText="1"/>
    </xf>
    <xf numFmtId="164" fontId="1" fillId="0" borderId="3" xfId="0" applyNumberFormat="1" applyFont="1" applyBorder="1"/>
    <xf numFmtId="0" fontId="0" fillId="6" borderId="2" xfId="0" applyFill="1" applyBorder="1"/>
    <xf numFmtId="0" fontId="9" fillId="4" borderId="2" xfId="0" applyFont="1" applyFill="1" applyBorder="1"/>
    <xf numFmtId="164" fontId="4" fillId="5" borderId="2" xfId="0" applyNumberFormat="1" applyFont="1" applyFill="1" applyBorder="1"/>
    <xf numFmtId="0" fontId="1" fillId="0" borderId="4" xfId="0" applyFont="1" applyBorder="1"/>
    <xf numFmtId="0" fontId="0" fillId="7" borderId="2" xfId="0" applyFill="1" applyBorder="1"/>
    <xf numFmtId="0" fontId="0" fillId="7" borderId="0" xfId="0" applyFill="1"/>
    <xf numFmtId="0" fontId="11" fillId="0" borderId="0" xfId="0" applyFont="1"/>
    <xf numFmtId="1" fontId="0" fillId="0" borderId="0" xfId="0" applyNumberFormat="1"/>
    <xf numFmtId="0" fontId="12" fillId="0" borderId="0" xfId="0" applyFont="1" applyAlignment="1">
      <alignment horizontal="left"/>
    </xf>
    <xf numFmtId="0" fontId="10" fillId="6" borderId="0" xfId="0" applyFont="1" applyFill="1"/>
    <xf numFmtId="0" fontId="11" fillId="2" borderId="0" xfId="0" applyFont="1" applyFill="1"/>
    <xf numFmtId="164" fontId="11" fillId="2" borderId="2" xfId="0" applyNumberFormat="1" applyFont="1" applyFill="1" applyBorder="1"/>
    <xf numFmtId="164" fontId="11" fillId="2" borderId="0" xfId="0" applyNumberFormat="1" applyFont="1" applyFill="1"/>
    <xf numFmtId="1" fontId="11" fillId="2" borderId="0" xfId="0" applyNumberFormat="1" applyFont="1" applyFill="1"/>
    <xf numFmtId="164" fontId="11" fillId="2" borderId="2" xfId="1" applyNumberFormat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164" fontId="5" fillId="3" borderId="6" xfId="1" applyNumberFormat="1" applyFont="1" applyFill="1" applyBorder="1" applyAlignment="1">
      <alignment horizontal="center"/>
    </xf>
    <xf numFmtId="0" fontId="5" fillId="3" borderId="8" xfId="0" applyFont="1" applyFill="1" applyBorder="1"/>
    <xf numFmtId="0" fontId="0" fillId="4" borderId="0" xfId="0" applyFill="1"/>
    <xf numFmtId="0" fontId="0" fillId="0" borderId="0" xfId="1" applyNumberFormat="1" applyFont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0" fontId="0" fillId="0" borderId="5" xfId="0" applyBorder="1"/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/>
    <xf numFmtId="0" fontId="7" fillId="0" borderId="1" xfId="2" applyFill="1" applyBorder="1"/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5" fontId="6" fillId="0" borderId="2" xfId="1" applyNumberFormat="1" applyFont="1" applyFill="1" applyBorder="1" applyAlignment="1">
      <alignment horizontal="center"/>
    </xf>
    <xf numFmtId="165" fontId="5" fillId="3" borderId="6" xfId="1" applyNumberFormat="1" applyFont="1" applyFill="1" applyBorder="1"/>
    <xf numFmtId="164" fontId="11" fillId="2" borderId="2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wrapText="1"/>
    </xf>
    <xf numFmtId="1" fontId="0" fillId="0" borderId="2" xfId="0" applyNumberFormat="1" applyBorder="1"/>
    <xf numFmtId="0" fontId="0" fillId="8" borderId="0" xfId="0" applyFill="1"/>
    <xf numFmtId="0" fontId="0" fillId="8" borderId="0" xfId="0" applyFill="1" applyAlignment="1">
      <alignment horizontal="center"/>
    </xf>
    <xf numFmtId="1" fontId="0" fillId="8" borderId="2" xfId="0" applyNumberFormat="1" applyFill="1" applyBorder="1"/>
    <xf numFmtId="164" fontId="0" fillId="8" borderId="2" xfId="1" applyNumberFormat="1" applyFont="1" applyFill="1" applyBorder="1" applyAlignment="1">
      <alignment horizontal="center"/>
    </xf>
    <xf numFmtId="0" fontId="0" fillId="8" borderId="2" xfId="0" applyFill="1" applyBorder="1"/>
    <xf numFmtId="0" fontId="0" fillId="8" borderId="2" xfId="1" applyNumberFormat="1" applyFont="1" applyFill="1" applyBorder="1" applyAlignment="1">
      <alignment horizontal="center"/>
    </xf>
    <xf numFmtId="1" fontId="9" fillId="4" borderId="2" xfId="0" applyNumberFormat="1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6" borderId="0" xfId="0" applyFont="1" applyFill="1"/>
    <xf numFmtId="164" fontId="4" fillId="6" borderId="2" xfId="0" applyNumberFormat="1" applyFont="1" applyFill="1" applyBorder="1"/>
    <xf numFmtId="164" fontId="4" fillId="6" borderId="0" xfId="0" applyNumberFormat="1" applyFont="1" applyFill="1"/>
    <xf numFmtId="1" fontId="14" fillId="6" borderId="0" xfId="0" applyNumberFormat="1" applyFont="1" applyFill="1"/>
    <xf numFmtId="1" fontId="15" fillId="6" borderId="0" xfId="0" applyNumberFormat="1" applyFont="1" applyFill="1"/>
    <xf numFmtId="1" fontId="0" fillId="0" borderId="5" xfId="0" applyNumberFormat="1" applyBorder="1"/>
    <xf numFmtId="1" fontId="15" fillId="6" borderId="2" xfId="0" applyNumberFormat="1" applyFont="1" applyFill="1" applyBorder="1"/>
    <xf numFmtId="1" fontId="0" fillId="0" borderId="0" xfId="0" applyNumberFormat="1" applyAlignment="1">
      <alignment horizontal="center"/>
    </xf>
    <xf numFmtId="0" fontId="8" fillId="10" borderId="1" xfId="0" applyFont="1" applyFill="1" applyBorder="1" applyAlignment="1">
      <alignment horizontal="center" vertical="center" wrapText="1"/>
    </xf>
    <xf numFmtId="1" fontId="0" fillId="8" borderId="0" xfId="0" applyNumberFormat="1" applyFill="1"/>
    <xf numFmtId="0" fontId="0" fillId="0" borderId="5" xfId="1" applyNumberFormat="1" applyFont="1" applyBorder="1" applyAlignment="1">
      <alignment horizontal="center"/>
    </xf>
    <xf numFmtId="0" fontId="15" fillId="6" borderId="0" xfId="0" applyFont="1" applyFill="1"/>
    <xf numFmtId="0" fontId="8" fillId="11" borderId="1" xfId="0" applyFont="1" applyFill="1" applyBorder="1" applyAlignment="1">
      <alignment horizontal="center" vertical="center" wrapText="1"/>
    </xf>
    <xf numFmtId="1" fontId="15" fillId="6" borderId="0" xfId="1" applyNumberFormat="1" applyFont="1" applyFill="1" applyAlignment="1">
      <alignment horizontal="righ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00B27A"/>
      <color rgb="FFEA345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'2025'!$D$1:$O$1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'2025'!$D$43:$O$43</c:f>
              <c:numCache>
                <c:formatCode>General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A-4B61-915C-20F789B2A4F5}"/>
            </c:ext>
          </c:extLst>
        </c:ser>
        <c:ser>
          <c:idx val="1"/>
          <c:order val="1"/>
          <c:tx>
            <c:strRef>
              <c:f>'2025'!$C$44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'2025'!$D$1:$O$1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'2025'!$D$44:$O$44</c:f>
              <c:numCache>
                <c:formatCode>0</c:formatCode>
                <c:ptCount val="12"/>
                <c:pt idx="0">
                  <c:v>13073.596319625</c:v>
                </c:pt>
                <c:pt idx="1">
                  <c:v>20172.644541275</c:v>
                </c:pt>
                <c:pt idx="2">
                  <c:v>36964.665969049995</c:v>
                </c:pt>
                <c:pt idx="3">
                  <c:v>49216.211262474993</c:v>
                </c:pt>
                <c:pt idx="4">
                  <c:v>54475.442767449997</c:v>
                </c:pt>
                <c:pt idx="5">
                  <c:v>57819.435128875004</c:v>
                </c:pt>
                <c:pt idx="6">
                  <c:v>59925.150972874995</c:v>
                </c:pt>
                <c:pt idx="7">
                  <c:v>51263.658114449994</c:v>
                </c:pt>
                <c:pt idx="8">
                  <c:v>40311.613912050001</c:v>
                </c:pt>
                <c:pt idx="9">
                  <c:v>26340.937605400002</c:v>
                </c:pt>
                <c:pt idx="10">
                  <c:v>14795.290245975</c:v>
                </c:pt>
                <c:pt idx="11">
                  <c:v>10742.522434075001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A-4B61-915C-20F789B2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'2024'!$D$43:$O$43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5-44C4-9825-EAEA68CF9805}"/>
            </c:ext>
          </c:extLst>
        </c:ser>
        <c:ser>
          <c:idx val="1"/>
          <c:order val="1"/>
          <c:tx>
            <c:strRef>
              <c:f>'2024'!$C$44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'2024'!$D$44:$O$44</c:f>
              <c:numCache>
                <c:formatCode>0</c:formatCode>
                <c:ptCount val="12"/>
                <c:pt idx="0">
                  <c:v>13112.935125</c:v>
                </c:pt>
                <c:pt idx="1">
                  <c:v>20233.344575000003</c:v>
                </c:pt>
                <c:pt idx="2">
                  <c:v>37075.893649999998</c:v>
                </c:pt>
                <c:pt idx="3">
                  <c:v>49364.304175000005</c:v>
                </c:pt>
                <c:pt idx="4">
                  <c:v>54639.360849999997</c:v>
                </c:pt>
                <c:pt idx="5">
                  <c:v>57993.415374999997</c:v>
                </c:pt>
                <c:pt idx="6">
                  <c:v>60105.467375</c:v>
                </c:pt>
                <c:pt idx="7">
                  <c:v>51417.911850000004</c:v>
                </c:pt>
                <c:pt idx="8">
                  <c:v>40432.912649999998</c:v>
                </c:pt>
                <c:pt idx="9">
                  <c:v>26420.198199999999</c:v>
                </c:pt>
                <c:pt idx="10">
                  <c:v>14839.809674999999</c:v>
                </c:pt>
                <c:pt idx="11">
                  <c:v>10774.846974999999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5-44C4-9825-EAEA68CF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'2023'!$D$43:$O$43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9-49AB-8B3A-6D08C1176B7E}"/>
            </c:ext>
          </c:extLst>
        </c:ser>
        <c:ser>
          <c:idx val="1"/>
          <c:order val="1"/>
          <c:tx>
            <c:strRef>
              <c:f>'2023'!$C$44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'2023'!$D$44:$O$44</c:f>
              <c:numCache>
                <c:formatCode>0</c:formatCode>
                <c:ptCount val="12"/>
                <c:pt idx="0">
                  <c:v>2790.9750000000004</c:v>
                </c:pt>
                <c:pt idx="1">
                  <c:v>17548.084999999999</c:v>
                </c:pt>
                <c:pt idx="2">
                  <c:v>32075.27</c:v>
                </c:pt>
                <c:pt idx="3">
                  <c:v>42572.165000000001</c:v>
                </c:pt>
                <c:pt idx="4">
                  <c:v>47093.83</c:v>
                </c:pt>
                <c:pt idx="5">
                  <c:v>49901.925000000003</c:v>
                </c:pt>
                <c:pt idx="6">
                  <c:v>51811.525000000001</c:v>
                </c:pt>
                <c:pt idx="7">
                  <c:v>44343.630000000005</c:v>
                </c:pt>
                <c:pt idx="8">
                  <c:v>34911.47</c:v>
                </c:pt>
                <c:pt idx="9">
                  <c:v>22832.36</c:v>
                </c:pt>
                <c:pt idx="10">
                  <c:v>14904.064999999999</c:v>
                </c:pt>
                <c:pt idx="11">
                  <c:v>10821.605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9-49AB-8B3A-6D08C1176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'2022'!$C$13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'2022'!$D$13:$O$13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A-4B78-8CA6-E72C9DCB4464}"/>
            </c:ext>
          </c:extLst>
        </c:ser>
        <c:ser>
          <c:idx val="1"/>
          <c:order val="1"/>
          <c:tx>
            <c:strRef>
              <c:f>'2022'!$C$14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'2022'!$D$14:$O$14</c:f>
              <c:numCache>
                <c:formatCode>General</c:formatCode>
                <c:ptCount val="12"/>
                <c:pt idx="0">
                  <c:v>2805</c:v>
                </c:pt>
                <c:pt idx="1">
                  <c:v>4383</c:v>
                </c:pt>
                <c:pt idx="2">
                  <c:v>8146</c:v>
                </c:pt>
                <c:pt idx="3">
                  <c:v>10967</c:v>
                </c:pt>
                <c:pt idx="4">
                  <c:v>12234</c:v>
                </c:pt>
                <c:pt idx="5">
                  <c:v>13015</c:v>
                </c:pt>
                <c:pt idx="6">
                  <c:v>13495</c:v>
                </c:pt>
                <c:pt idx="7">
                  <c:v>11474</c:v>
                </c:pt>
                <c:pt idx="8">
                  <c:v>8906</c:v>
                </c:pt>
                <c:pt idx="9">
                  <c:v>5728</c:v>
                </c:pt>
                <c:pt idx="10">
                  <c:v>3187</c:v>
                </c:pt>
                <c:pt idx="11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A-4B78-8CA6-E72C9DCB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BBZ PV-Anlagen 2025 - Stand 2. Juli 2025</a:t>
            </a:r>
          </a:p>
        </c:rich>
      </c:tx>
      <c:layout>
        <c:manualLayout>
          <c:xMode val="edge"/>
          <c:yMode val="edge"/>
          <c:x val="0.269609589975297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E-4635-AC12-D8DA7C2DD5E5}"/>
            </c:ext>
          </c:extLst>
        </c:ser>
        <c:ser>
          <c:idx val="4"/>
          <c:order val="4"/>
          <c:tx>
            <c:strRef>
              <c:f>'aktuelles Diagramm - alle Jahre'!$A$19</c:f>
              <c:strCache>
                <c:ptCount val="1"/>
                <c:pt idx="0">
                  <c:v>Prognose SOLL (kWh) im 2025</c:v>
                </c:pt>
              </c:strCache>
            </c:strRef>
          </c:tx>
          <c:spPr>
            <a:solidFill>
              <a:srgbClr val="00B27A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Jahre'!$B$19:$M$19</c:f>
              <c:numCache>
                <c:formatCode>0</c:formatCode>
                <c:ptCount val="12"/>
                <c:pt idx="0">
                  <c:v>13073.596319625</c:v>
                </c:pt>
                <c:pt idx="1">
                  <c:v>20172.644541275</c:v>
                </c:pt>
                <c:pt idx="2">
                  <c:v>36964.665969049995</c:v>
                </c:pt>
                <c:pt idx="3">
                  <c:v>49216.211262474993</c:v>
                </c:pt>
                <c:pt idx="4">
                  <c:v>54475.442767449997</c:v>
                </c:pt>
                <c:pt idx="5">
                  <c:v>57819.435128875004</c:v>
                </c:pt>
                <c:pt idx="6">
                  <c:v>59925.150972874995</c:v>
                </c:pt>
                <c:pt idx="7">
                  <c:v>51263.658114449994</c:v>
                </c:pt>
                <c:pt idx="8">
                  <c:v>40311.613912050001</c:v>
                </c:pt>
                <c:pt idx="9">
                  <c:v>26340.937605400002</c:v>
                </c:pt>
                <c:pt idx="10">
                  <c:v>14795.290245975</c:v>
                </c:pt>
                <c:pt idx="11">
                  <c:v>10742.522434075001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E-4635-AC12-D8DA7C2D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'aktuelles Diagramm - alle Jahre'!$A$8</c15:sqref>
                        </c15:formulaRef>
                      </c:ext>
                    </c:extLst>
                    <c:strCache>
                      <c:ptCount val="1"/>
                      <c:pt idx="0">
                        <c:v>Erträge IST (kWh) im 2023</c:v>
                      </c:pt>
                    </c:strCache>
                  </c:strRef>
                </c:tx>
                <c:spPr>
                  <a:solidFill>
                    <a:srgbClr val="EA345E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1625</c:v>
                      </c:pt>
                      <c:pt idx="1">
                        <c:v>16626</c:v>
                      </c:pt>
                      <c:pt idx="2">
                        <c:v>30192</c:v>
                      </c:pt>
                      <c:pt idx="3">
                        <c:v>40137</c:v>
                      </c:pt>
                      <c:pt idx="4">
                        <c:v>50735</c:v>
                      </c:pt>
                      <c:pt idx="5">
                        <c:v>68371</c:v>
                      </c:pt>
                      <c:pt idx="6">
                        <c:v>58488</c:v>
                      </c:pt>
                      <c:pt idx="7">
                        <c:v>48264</c:v>
                      </c:pt>
                      <c:pt idx="8">
                        <c:v>44407</c:v>
                      </c:pt>
                      <c:pt idx="9">
                        <c:v>26841</c:v>
                      </c:pt>
                      <c:pt idx="10">
                        <c:v>11288</c:v>
                      </c:pt>
                      <c:pt idx="11">
                        <c:v>6947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A9D-4441-9DC5-3DAE1F36A46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Jahre'!$A$9</c15:sqref>
                        </c15:formulaRef>
                      </c:ext>
                    </c:extLst>
                    <c:strCache>
                      <c:ptCount val="1"/>
                      <c:pt idx="0">
                        <c:v>Prognose SOLL (kWh) im 2023</c:v>
                      </c:pt>
                    </c:strCache>
                  </c:strRef>
                </c:tx>
                <c:spPr>
                  <a:solidFill>
                    <a:srgbClr val="00B27A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Jahre'!$B$9:$M$9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2790.9750000000004</c:v>
                      </c:pt>
                      <c:pt idx="1">
                        <c:v>17548.084999999999</c:v>
                      </c:pt>
                      <c:pt idx="2">
                        <c:v>32075.27</c:v>
                      </c:pt>
                      <c:pt idx="3">
                        <c:v>42572.165000000001</c:v>
                      </c:pt>
                      <c:pt idx="4">
                        <c:v>47093.83</c:v>
                      </c:pt>
                      <c:pt idx="5">
                        <c:v>49901.925000000003</c:v>
                      </c:pt>
                      <c:pt idx="6">
                        <c:v>51811.525000000001</c:v>
                      </c:pt>
                      <c:pt idx="7">
                        <c:v>44343.630000000005</c:v>
                      </c:pt>
                      <c:pt idx="8">
                        <c:v>34911.47</c:v>
                      </c:pt>
                      <c:pt idx="9">
                        <c:v>22832.36</c:v>
                      </c:pt>
                      <c:pt idx="10">
                        <c:v>14904.064999999999</c:v>
                      </c:pt>
                      <c:pt idx="11">
                        <c:v>10821.605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A9D-4441-9DC5-3DAE1F36A46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'aktuelles Diagramm - alle Jahre'!$A$20</c:f>
              <c:strCache>
                <c:ptCount val="1"/>
                <c:pt idx="0">
                  <c:v>Sonnenscheindauer in h im 2025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Jahre'!$B$20:$M$20</c:f>
              <c:numCache>
                <c:formatCode>General</c:formatCode>
                <c:ptCount val="12"/>
                <c:pt idx="0">
                  <c:v>69</c:v>
                </c:pt>
                <c:pt idx="1">
                  <c:v>52</c:v>
                </c:pt>
                <c:pt idx="2">
                  <c:v>151</c:v>
                </c:pt>
                <c:pt idx="3">
                  <c:v>252</c:v>
                </c:pt>
                <c:pt idx="4">
                  <c:v>198</c:v>
                </c:pt>
                <c:pt idx="5">
                  <c:v>291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E-4635-AC12-D8DA7C2D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'aktuelles Diagramm - alle Jahre'!$A$10</c15:sqref>
                        </c15:formulaRef>
                      </c:ext>
                    </c:extLst>
                    <c:strCache>
                      <c:ptCount val="1"/>
                      <c:pt idx="0">
                        <c:v>Sonnenscheindauer in h im 2023</c:v>
                      </c:pt>
                    </c:strCache>
                  </c:strRef>
                </c:tx>
                <c:spPr>
                  <a:ln w="3492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Jahre'!$B$10:$M$10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</c:v>
                      </c:pt>
                      <c:pt idx="1">
                        <c:v>125</c:v>
                      </c:pt>
                      <c:pt idx="2">
                        <c:v>117</c:v>
                      </c:pt>
                      <c:pt idx="3">
                        <c:v>120</c:v>
                      </c:pt>
                      <c:pt idx="4">
                        <c:v>165</c:v>
                      </c:pt>
                      <c:pt idx="5">
                        <c:v>319</c:v>
                      </c:pt>
                      <c:pt idx="6">
                        <c:v>231</c:v>
                      </c:pt>
                      <c:pt idx="7">
                        <c:v>216</c:v>
                      </c:pt>
                      <c:pt idx="8">
                        <c:v>251</c:v>
                      </c:pt>
                      <c:pt idx="9">
                        <c:v>151</c:v>
                      </c:pt>
                      <c:pt idx="10">
                        <c:v>39</c:v>
                      </c:pt>
                      <c:pt idx="11">
                        <c:v>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A9D-4441-9DC5-3DAE1F36A46B}"/>
                  </c:ext>
                </c:extLst>
              </c15:ser>
            </c15:filteredLineSeries>
          </c:ext>
        </c:extLst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908252209546952E-2"/>
          <c:y val="0.95037582539784471"/>
          <c:w val="0.59352621946177719"/>
          <c:h val="4.0876640657676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BBZ PV-Anlagen alle</a:t>
            </a:r>
            <a:r>
              <a:rPr lang="de-CH" sz="1200" b="1" baseline="0"/>
              <a:t> Jahre - Entwicklung Ertrag und Sonnenstunden seit 2022 und </a:t>
            </a:r>
            <a:r>
              <a:rPr lang="de-CH" sz="1200" b="1"/>
              <a:t>2023 - Stand 31. Dezember 2023</a:t>
            </a:r>
          </a:p>
        </c:rich>
      </c:tx>
      <c:layout>
        <c:manualLayout>
          <c:xMode val="edge"/>
          <c:yMode val="edge"/>
          <c:x val="0.15617276544691058"/>
          <c:y val="1.6336056009334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9-4CD9-AD67-E30C654FCCB3}"/>
            </c:ext>
          </c:extLst>
        </c:ser>
        <c:ser>
          <c:idx val="3"/>
          <c:order val="2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</c:barChart>
      <c:lineChart>
        <c:grouping val="standard"/>
        <c:varyColors val="0"/>
        <c:ser>
          <c:idx val="2"/>
          <c:order val="1"/>
          <c:tx>
            <c:strRef>
              <c:f>'aktuelles Diagramm - alle Jahre'!$A$10</c:f>
              <c:strCache>
                <c:ptCount val="1"/>
                <c:pt idx="0">
                  <c:v>Sonnenscheindauer in h im 2023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Jahre'!$B$10:$M$10</c:f>
              <c:numCache>
                <c:formatCode>General</c:formatCode>
                <c:ptCount val="12"/>
                <c:pt idx="0">
                  <c:v>37</c:v>
                </c:pt>
                <c:pt idx="1">
                  <c:v>125</c:v>
                </c:pt>
                <c:pt idx="2">
                  <c:v>117</c:v>
                </c:pt>
                <c:pt idx="3">
                  <c:v>120</c:v>
                </c:pt>
                <c:pt idx="4">
                  <c:v>165</c:v>
                </c:pt>
                <c:pt idx="5">
                  <c:v>319</c:v>
                </c:pt>
                <c:pt idx="6">
                  <c:v>231</c:v>
                </c:pt>
                <c:pt idx="7">
                  <c:v>216</c:v>
                </c:pt>
                <c:pt idx="8">
                  <c:v>251</c:v>
                </c:pt>
                <c:pt idx="9">
                  <c:v>151</c:v>
                </c:pt>
                <c:pt idx="10">
                  <c:v>39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9-4CD9-AD67-E30C654FCCB3}"/>
            </c:ext>
          </c:extLst>
        </c:ser>
        <c:ser>
          <c:idx val="1"/>
          <c:order val="3"/>
          <c:tx>
            <c:strRef>
              <c:f>'aktuelles Diagramm - alle Jahre'!$A$5</c:f>
              <c:strCache>
                <c:ptCount val="1"/>
                <c:pt idx="0">
                  <c:v>Sonnenscheindauer in h im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Jahre'!$B$5:$M$5</c:f>
              <c:numCache>
                <c:formatCode>General</c:formatCode>
                <c:ptCount val="12"/>
                <c:pt idx="0">
                  <c:v>104</c:v>
                </c:pt>
                <c:pt idx="1">
                  <c:v>125</c:v>
                </c:pt>
                <c:pt idx="2">
                  <c:v>252</c:v>
                </c:pt>
                <c:pt idx="3">
                  <c:v>204</c:v>
                </c:pt>
                <c:pt idx="4">
                  <c:v>229</c:v>
                </c:pt>
                <c:pt idx="5">
                  <c:v>257</c:v>
                </c:pt>
                <c:pt idx="6">
                  <c:v>316</c:v>
                </c:pt>
                <c:pt idx="7">
                  <c:v>282</c:v>
                </c:pt>
                <c:pt idx="8">
                  <c:v>151</c:v>
                </c:pt>
                <c:pt idx="9">
                  <c:v>112</c:v>
                </c:pt>
                <c:pt idx="10">
                  <c:v>53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BBZ PV-Anlagen Solar-Erträge Vergleich 2024 und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C-4DCD-A570-F26E874552A2}"/>
            </c:ext>
          </c:extLst>
        </c:ser>
        <c:ser>
          <c:idx val="3"/>
          <c:order val="1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B-4716-8BED-F32CF2418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490063360"/>
        <c:axId val="1495751584"/>
      </c:bar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D-403B-AA18-2A837FDB3667}"/>
            </c:ext>
          </c:extLst>
        </c:ser>
        <c:ser>
          <c:idx val="5"/>
          <c:order val="1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7D-403B-AA18-2A837FDB3667}"/>
            </c:ext>
          </c:extLst>
        </c:ser>
        <c:ser>
          <c:idx val="10"/>
          <c:order val="2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7D-403B-AA18-2A837FDB3667}"/>
            </c:ext>
          </c:extLst>
        </c:ser>
        <c:ser>
          <c:idx val="1"/>
          <c:order val="3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B-4473-8192-8FE7121EF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64490400"/>
        <c:axId val="1064479360"/>
      </c:barChart>
      <c:catAx>
        <c:axId val="10644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79360"/>
        <c:crosses val="autoZero"/>
        <c:auto val="1"/>
        <c:lblAlgn val="ctr"/>
        <c:lblOffset val="100"/>
        <c:noMultiLvlLbl val="0"/>
      </c:catAx>
      <c:valAx>
        <c:axId val="106447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9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209B07C-FF4F-4FC6-9619-9F5ACAA8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B844B29-15E7-4304-8B57-86B743421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3DA3F4-1918-4A72-9D38-AC2882130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517070</xdr:colOff>
      <xdr:row>21</xdr:row>
      <xdr:rowOff>133348</xdr:rowOff>
    </xdr:from>
    <xdr:to>
      <xdr:col>12</xdr:col>
      <xdr:colOff>527049</xdr:colOff>
      <xdr:row>41</xdr:row>
      <xdr:rowOff>145142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C79BAE5-F980-49D2-A0E7-F9FCD1E2B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56</xdr:row>
      <xdr:rowOff>88899</xdr:rowOff>
    </xdr:from>
    <xdr:to>
      <xdr:col>12</xdr:col>
      <xdr:colOff>714375</xdr:colOff>
      <xdr:row>86</xdr:row>
      <xdr:rowOff>98424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8297396-5492-464F-B6A4-FB5B1F42A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1244600</xdr:colOff>
      <xdr:row>94</xdr:row>
      <xdr:rowOff>76200</xdr:rowOff>
    </xdr:from>
    <xdr:to>
      <xdr:col>13</xdr:col>
      <xdr:colOff>168275</xdr:colOff>
      <xdr:row>124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7F786B-F9DE-4B8F-9715-1E88B277D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1028700</xdr:colOff>
      <xdr:row>24</xdr:row>
      <xdr:rowOff>152400</xdr:rowOff>
    </xdr:from>
    <xdr:to>
      <xdr:col>12</xdr:col>
      <xdr:colOff>714375</xdr:colOff>
      <xdr:row>54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875838F-BC12-4EF7-B7B3-A080992A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314324</xdr:colOff>
      <xdr:row>26</xdr:row>
      <xdr:rowOff>11111</xdr:rowOff>
    </xdr:from>
    <xdr:to>
      <xdr:col>20</xdr:col>
      <xdr:colOff>31749</xdr:colOff>
      <xdr:row>41</xdr:row>
      <xdr:rowOff>126999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AB65028-D087-8348-6826-990F4FC39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B204-38FF-44A8-AA5C-15280968D0A7}">
  <dimension ref="A1:R67"/>
  <sheetViews>
    <sheetView zoomScaleNormal="100" zoomScalePageLayoutView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44" sqref="A44"/>
    </sheetView>
  </sheetViews>
  <sheetFormatPr baseColWidth="10" defaultRowHeight="15" x14ac:dyDescent="0.2"/>
  <cols>
    <col min="1" max="1" width="19.5" bestFit="1" customWidth="1"/>
    <col min="2" max="2" width="9.5" style="1" customWidth="1"/>
    <col min="3" max="3" width="25" customWidth="1"/>
    <col min="4" max="15" width="11.5" customWidth="1"/>
    <col min="16" max="16" width="18.5" style="4" bestFit="1" customWidth="1"/>
    <col min="17" max="17" width="10.83203125" customWidth="1"/>
    <col min="18" max="18" width="27.1640625" bestFit="1" customWidth="1"/>
  </cols>
  <sheetData>
    <row r="1" spans="1:18" ht="29.25" customHeight="1" x14ac:dyDescent="0.2">
      <c r="A1" s="2"/>
      <c r="B1" s="3" t="s">
        <v>20</v>
      </c>
      <c r="C1" s="89" t="s">
        <v>66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">
      <c r="A2" s="7" t="s">
        <v>31</v>
      </c>
      <c r="B2" s="1">
        <v>45.14</v>
      </c>
      <c r="C2" t="s">
        <v>15</v>
      </c>
      <c r="D2" s="33">
        <v>1090</v>
      </c>
      <c r="E2" s="34">
        <v>1167</v>
      </c>
      <c r="F2" s="34">
        <v>3040</v>
      </c>
      <c r="G2" s="34">
        <v>4670</v>
      </c>
      <c r="H2" s="34">
        <v>4750</v>
      </c>
      <c r="I2" s="34">
        <v>5680</v>
      </c>
      <c r="J2" s="34"/>
      <c r="K2" s="34"/>
      <c r="L2" s="34"/>
      <c r="M2" s="34"/>
      <c r="N2" s="34"/>
      <c r="O2" s="34"/>
      <c r="P2" s="19"/>
      <c r="Q2" s="24">
        <f>SUM(D2:O2)</f>
        <v>20397</v>
      </c>
      <c r="R2" s="23"/>
    </row>
    <row r="3" spans="1:18" x14ac:dyDescent="0.2">
      <c r="C3" t="s">
        <v>21</v>
      </c>
      <c r="D3" s="67">
        <v>1319.6924347249999</v>
      </c>
      <c r="E3" s="36">
        <v>2044.1907496749998</v>
      </c>
      <c r="F3" s="36">
        <v>3768.5757036499999</v>
      </c>
      <c r="G3" s="36">
        <v>5044.8377216749996</v>
      </c>
      <c r="H3" s="36">
        <v>5600.5496444500004</v>
      </c>
      <c r="I3" s="36">
        <v>5952.9282526750003</v>
      </c>
      <c r="J3" s="36">
        <v>6177.9767755749999</v>
      </c>
      <c r="K3" s="36">
        <v>5268.8991896500002</v>
      </c>
      <c r="L3" s="36">
        <v>4112.0708175500004</v>
      </c>
      <c r="M3" s="36">
        <v>2665.0482975</v>
      </c>
      <c r="N3" s="36">
        <v>1491.4399916749999</v>
      </c>
      <c r="O3" s="36">
        <v>1072.928703475</v>
      </c>
      <c r="P3" s="19"/>
      <c r="Q3" s="67">
        <f>SUM(D3:P3)</f>
        <v>44519.138282274995</v>
      </c>
      <c r="R3" s="23"/>
    </row>
    <row r="4" spans="1:18" s="68" customFormat="1" hidden="1" x14ac:dyDescent="0.2">
      <c r="B4" s="69"/>
      <c r="C4" s="68" t="s">
        <v>36</v>
      </c>
      <c r="D4" s="70">
        <f>D3*0.995</f>
        <v>1313.0939725513749</v>
      </c>
      <c r="E4" s="86">
        <f t="shared" ref="E4:O4" si="0">E3*0.995</f>
        <v>2033.9697959266248</v>
      </c>
      <c r="F4" s="86">
        <f t="shared" si="0"/>
        <v>3749.7328251317499</v>
      </c>
      <c r="G4" s="86">
        <f t="shared" si="0"/>
        <v>5019.6135330666248</v>
      </c>
      <c r="H4" s="86">
        <f t="shared" si="0"/>
        <v>5572.54689622775</v>
      </c>
      <c r="I4" s="86">
        <f t="shared" si="0"/>
        <v>5923.1636114116254</v>
      </c>
      <c r="J4" s="86">
        <f t="shared" si="0"/>
        <v>6147.0868916971249</v>
      </c>
      <c r="K4" s="86">
        <f t="shared" si="0"/>
        <v>5242.5546937017498</v>
      </c>
      <c r="L4" s="86">
        <f t="shared" si="0"/>
        <v>4091.5104634622503</v>
      </c>
      <c r="M4" s="86">
        <f t="shared" si="0"/>
        <v>2651.7230560124999</v>
      </c>
      <c r="N4" s="86">
        <f t="shared" si="0"/>
        <v>1483.9827917166249</v>
      </c>
      <c r="O4" s="86">
        <f t="shared" si="0"/>
        <v>1067.564059957625</v>
      </c>
      <c r="P4" s="73"/>
      <c r="Q4" s="72"/>
      <c r="R4" s="72"/>
    </row>
    <row r="5" spans="1:18" s="7" customFormat="1" x14ac:dyDescent="0.2">
      <c r="A5" s="5"/>
      <c r="B5" s="6"/>
      <c r="C5" s="5" t="s">
        <v>16</v>
      </c>
      <c r="D5" s="28">
        <f t="shared" ref="D5:H5" si="1">D2/D3*100-100</f>
        <v>-17.404997458583111</v>
      </c>
      <c r="E5" s="12">
        <f t="shared" si="1"/>
        <v>-42.911394145309679</v>
      </c>
      <c r="F5" s="12">
        <f t="shared" si="1"/>
        <v>-19.332919408898917</v>
      </c>
      <c r="G5" s="12">
        <f t="shared" si="1"/>
        <v>-7.4301244629637893</v>
      </c>
      <c r="H5" s="12">
        <f t="shared" si="1"/>
        <v>-15.186895902134765</v>
      </c>
      <c r="I5" s="12">
        <f>I2/I3*100-100</f>
        <v>-4.5847730913329485</v>
      </c>
      <c r="J5" s="12">
        <f t="shared" ref="J5:O5" si="2">J2/J3*100-100</f>
        <v>-100</v>
      </c>
      <c r="K5" s="12">
        <f t="shared" si="2"/>
        <v>-100</v>
      </c>
      <c r="L5" s="12">
        <f t="shared" si="2"/>
        <v>-100</v>
      </c>
      <c r="M5" s="12">
        <f t="shared" si="2"/>
        <v>-100</v>
      </c>
      <c r="N5" s="12">
        <f t="shared" si="2"/>
        <v>-100</v>
      </c>
      <c r="O5" s="12">
        <f t="shared" si="2"/>
        <v>-100</v>
      </c>
      <c r="P5" s="20">
        <f>Q2/B2</f>
        <v>451.86087727071333</v>
      </c>
      <c r="Q5" s="32"/>
      <c r="R5" s="26"/>
    </row>
    <row r="6" spans="1:18" x14ac:dyDescent="0.2">
      <c r="A6" s="7" t="s">
        <v>27</v>
      </c>
      <c r="B6" s="1">
        <v>13.32</v>
      </c>
      <c r="C6" t="s">
        <v>15</v>
      </c>
      <c r="D6" s="33">
        <v>283</v>
      </c>
      <c r="E6" s="34">
        <v>331</v>
      </c>
      <c r="F6" s="34">
        <v>888</v>
      </c>
      <c r="G6" s="34">
        <v>1370</v>
      </c>
      <c r="H6" s="34">
        <v>1380</v>
      </c>
      <c r="I6" s="34">
        <v>1670</v>
      </c>
      <c r="J6" s="34"/>
      <c r="K6" s="34"/>
      <c r="L6" s="34"/>
      <c r="M6" s="34"/>
      <c r="N6" s="34"/>
      <c r="O6" s="34"/>
      <c r="P6" s="21"/>
      <c r="Q6" s="23"/>
      <c r="R6" s="23"/>
    </row>
    <row r="7" spans="1:18" x14ac:dyDescent="0.2">
      <c r="A7" s="7" t="s">
        <v>28</v>
      </c>
      <c r="B7" s="1">
        <v>13.32</v>
      </c>
      <c r="C7" t="s">
        <v>15</v>
      </c>
      <c r="D7" s="33">
        <v>309</v>
      </c>
      <c r="E7" s="34">
        <v>337</v>
      </c>
      <c r="F7" s="34">
        <v>906</v>
      </c>
      <c r="G7" s="34">
        <v>1400</v>
      </c>
      <c r="H7" s="34">
        <v>1450</v>
      </c>
      <c r="I7" s="34">
        <v>1760</v>
      </c>
      <c r="J7" s="34"/>
      <c r="K7" s="34"/>
      <c r="L7" s="34"/>
      <c r="M7" s="34"/>
      <c r="N7" s="34"/>
      <c r="O7" s="34"/>
      <c r="P7" s="21"/>
      <c r="Q7" s="23"/>
      <c r="R7" s="23"/>
    </row>
    <row r="8" spans="1:18" x14ac:dyDescent="0.2">
      <c r="A8" s="7" t="s">
        <v>29</v>
      </c>
      <c r="B8" s="1">
        <v>13.32</v>
      </c>
      <c r="C8" t="s">
        <v>15</v>
      </c>
      <c r="D8" s="33">
        <v>302</v>
      </c>
      <c r="E8" s="34">
        <v>328</v>
      </c>
      <c r="F8" s="34">
        <v>863</v>
      </c>
      <c r="G8" s="34">
        <v>1330</v>
      </c>
      <c r="H8" s="34">
        <v>1370</v>
      </c>
      <c r="I8" s="34">
        <v>1680</v>
      </c>
      <c r="J8" s="34"/>
      <c r="K8" s="34"/>
      <c r="L8" s="34"/>
      <c r="M8" s="34"/>
      <c r="N8" s="34"/>
      <c r="O8" s="34"/>
      <c r="P8" s="21"/>
      <c r="Q8" s="23"/>
      <c r="R8" s="23"/>
    </row>
    <row r="9" spans="1:18" x14ac:dyDescent="0.2">
      <c r="A9" s="7" t="s">
        <v>30</v>
      </c>
      <c r="B9" s="1">
        <v>13.32</v>
      </c>
      <c r="C9" t="s">
        <v>15</v>
      </c>
      <c r="D9" s="33">
        <v>299</v>
      </c>
      <c r="E9" s="34">
        <v>323</v>
      </c>
      <c r="F9" s="34">
        <v>858</v>
      </c>
      <c r="G9" s="34">
        <v>1320</v>
      </c>
      <c r="H9" s="34">
        <v>1360</v>
      </c>
      <c r="I9" s="34">
        <v>1640</v>
      </c>
      <c r="J9" s="34"/>
      <c r="K9" s="34"/>
      <c r="L9" s="34"/>
      <c r="M9" s="34"/>
      <c r="N9" s="34"/>
      <c r="O9" s="34"/>
      <c r="P9" s="21"/>
      <c r="Q9" s="23"/>
      <c r="R9" s="23"/>
    </row>
    <row r="10" spans="1:18" x14ac:dyDescent="0.2">
      <c r="C10" s="16" t="s">
        <v>17</v>
      </c>
      <c r="D10" s="29">
        <f t="shared" ref="D10:H10" si="3">SUM(D6:D9)</f>
        <v>1193</v>
      </c>
      <c r="E10" s="16">
        <f t="shared" si="3"/>
        <v>1319</v>
      </c>
      <c r="F10" s="16">
        <f t="shared" si="3"/>
        <v>3515</v>
      </c>
      <c r="G10" s="16">
        <f t="shared" si="3"/>
        <v>5420</v>
      </c>
      <c r="H10" s="16">
        <f t="shared" si="3"/>
        <v>5560</v>
      </c>
      <c r="I10" s="16">
        <f>SUM(I6:I9)</f>
        <v>6750</v>
      </c>
      <c r="J10" s="16">
        <f t="shared" ref="J10:O10" si="4">SUM(J6:J9)</f>
        <v>0</v>
      </c>
      <c r="K10" s="16">
        <f t="shared" si="4"/>
        <v>0</v>
      </c>
      <c r="L10" s="16">
        <f t="shared" si="4"/>
        <v>0</v>
      </c>
      <c r="M10" s="16">
        <f t="shared" si="4"/>
        <v>0</v>
      </c>
      <c r="N10" s="16">
        <f t="shared" si="4"/>
        <v>0</v>
      </c>
      <c r="O10" s="16">
        <f t="shared" si="4"/>
        <v>0</v>
      </c>
      <c r="P10" s="21"/>
      <c r="Q10" s="24">
        <f>SUM(D10:O10)</f>
        <v>23757</v>
      </c>
      <c r="R10" s="23"/>
    </row>
    <row r="11" spans="1:18" x14ac:dyDescent="0.2">
      <c r="C11" t="s">
        <v>21</v>
      </c>
      <c r="D11" s="67">
        <v>1448.9966299</v>
      </c>
      <c r="E11" s="36">
        <v>2282.0709866000002</v>
      </c>
      <c r="F11" s="36">
        <v>4271.9737153999995</v>
      </c>
      <c r="G11" s="36">
        <v>5780.1936408000001</v>
      </c>
      <c r="H11" s="36">
        <v>6475.0803079999996</v>
      </c>
      <c r="I11" s="36">
        <v>6893.5915961999999</v>
      </c>
      <c r="J11" s="36">
        <v>7142.3294372999999</v>
      </c>
      <c r="K11" s="36">
        <v>6056.5690197999993</v>
      </c>
      <c r="L11" s="36">
        <v>4678.6403444999996</v>
      </c>
      <c r="M11" s="36">
        <v>2988.8023129000003</v>
      </c>
      <c r="N11" s="36">
        <v>1654.3040543</v>
      </c>
      <c r="O11" s="36">
        <v>1176.5694705999999</v>
      </c>
      <c r="P11" s="21"/>
      <c r="Q11" s="67">
        <f>SUM(D11:P11)</f>
        <v>50849.121516300009</v>
      </c>
      <c r="R11" s="23"/>
    </row>
    <row r="12" spans="1:18" s="68" customFormat="1" hidden="1" x14ac:dyDescent="0.2">
      <c r="B12" s="69"/>
      <c r="C12" s="68" t="s">
        <v>36</v>
      </c>
      <c r="D12" s="70">
        <f>D11*0.995</f>
        <v>1441.7516467505</v>
      </c>
      <c r="E12" s="86">
        <f t="shared" ref="E12:O12" si="5">E11*0.995</f>
        <v>2270.660631667</v>
      </c>
      <c r="F12" s="86">
        <f t="shared" si="5"/>
        <v>4250.6138468229992</v>
      </c>
      <c r="G12" s="86">
        <f t="shared" si="5"/>
        <v>5751.2926725960006</v>
      </c>
      <c r="H12" s="86">
        <f t="shared" si="5"/>
        <v>6442.7049064599996</v>
      </c>
      <c r="I12" s="86">
        <f t="shared" si="5"/>
        <v>6859.123638219</v>
      </c>
      <c r="J12" s="86">
        <f t="shared" si="5"/>
        <v>7106.6177901134997</v>
      </c>
      <c r="K12" s="86">
        <f t="shared" si="5"/>
        <v>6026.2861747009993</v>
      </c>
      <c r="L12" s="86">
        <f t="shared" si="5"/>
        <v>4655.2471427774999</v>
      </c>
      <c r="M12" s="86">
        <f t="shared" si="5"/>
        <v>2973.8583013355001</v>
      </c>
      <c r="N12" s="86">
        <f t="shared" si="5"/>
        <v>1646.0325340284999</v>
      </c>
      <c r="O12" s="86">
        <f t="shared" si="5"/>
        <v>1170.6866232469999</v>
      </c>
      <c r="P12" s="71"/>
      <c r="Q12" s="72"/>
      <c r="R12" s="72"/>
    </row>
    <row r="13" spans="1:18" s="7" customFormat="1" x14ac:dyDescent="0.2">
      <c r="A13" s="5"/>
      <c r="B13" s="6"/>
      <c r="C13" s="5" t="s">
        <v>16</v>
      </c>
      <c r="D13" s="28">
        <f t="shared" ref="D13:O13" si="6">D10/D11*100-100</f>
        <v>-17.667165307186892</v>
      </c>
      <c r="E13" s="12">
        <f t="shared" si="6"/>
        <v>-42.201622660075763</v>
      </c>
      <c r="F13" s="12">
        <f t="shared" si="6"/>
        <v>-17.719531201027579</v>
      </c>
      <c r="G13" s="12">
        <f t="shared" si="6"/>
        <v>-6.231515121873116</v>
      </c>
      <c r="H13" s="12">
        <f t="shared" si="6"/>
        <v>-14.132339128974394</v>
      </c>
      <c r="I13" s="12">
        <f t="shared" si="6"/>
        <v>-2.0829721952074038</v>
      </c>
      <c r="J13" s="12">
        <f t="shared" si="6"/>
        <v>-100</v>
      </c>
      <c r="K13" s="12">
        <f t="shared" si="6"/>
        <v>-100</v>
      </c>
      <c r="L13" s="12">
        <f t="shared" si="6"/>
        <v>-100</v>
      </c>
      <c r="M13" s="12">
        <f t="shared" si="6"/>
        <v>-100</v>
      </c>
      <c r="N13" s="12">
        <f t="shared" si="6"/>
        <v>-100</v>
      </c>
      <c r="O13" s="12">
        <f t="shared" si="6"/>
        <v>-100</v>
      </c>
      <c r="P13" s="20">
        <f>Q10/(B9+B8+B7+B6)</f>
        <v>445.88963963963965</v>
      </c>
      <c r="Q13" s="32"/>
      <c r="R13" s="26"/>
    </row>
    <row r="14" spans="1:18" x14ac:dyDescent="0.2">
      <c r="A14" s="7" t="s">
        <v>38</v>
      </c>
      <c r="B14" s="53">
        <v>20</v>
      </c>
      <c r="C14" t="s">
        <v>15</v>
      </c>
      <c r="D14" s="33">
        <v>497</v>
      </c>
      <c r="E14" s="34">
        <v>547</v>
      </c>
      <c r="F14" s="34">
        <v>1450</v>
      </c>
      <c r="G14" s="34">
        <v>2210</v>
      </c>
      <c r="H14" s="34">
        <v>2250</v>
      </c>
      <c r="I14" s="34">
        <v>2750</v>
      </c>
      <c r="J14" s="34"/>
      <c r="K14" s="34"/>
      <c r="L14" s="34"/>
      <c r="M14" s="34"/>
      <c r="N14" s="34"/>
      <c r="O14" s="34"/>
      <c r="P14" s="21"/>
      <c r="Q14" s="23"/>
      <c r="R14" s="23"/>
    </row>
    <row r="15" spans="1:18" x14ac:dyDescent="0.2">
      <c r="A15" s="7" t="s">
        <v>39</v>
      </c>
      <c r="B15" s="1">
        <v>45.2</v>
      </c>
      <c r="C15" t="s">
        <v>15</v>
      </c>
      <c r="D15" s="33">
        <v>1170</v>
      </c>
      <c r="E15" s="34">
        <v>1266</v>
      </c>
      <c r="F15" s="34">
        <v>3320</v>
      </c>
      <c r="G15" s="34">
        <v>5110</v>
      </c>
      <c r="H15" s="34">
        <v>5200</v>
      </c>
      <c r="I15" s="34">
        <v>6190</v>
      </c>
      <c r="J15" s="34"/>
      <c r="K15" s="34"/>
      <c r="L15" s="34"/>
      <c r="M15" s="34"/>
      <c r="N15" s="34"/>
      <c r="O15" s="34"/>
      <c r="P15" s="21"/>
      <c r="Q15" s="23"/>
      <c r="R15" s="23"/>
    </row>
    <row r="16" spans="1:18" x14ac:dyDescent="0.2">
      <c r="A16" s="7" t="s">
        <v>40</v>
      </c>
      <c r="B16" s="1">
        <v>20.8</v>
      </c>
      <c r="C16" t="s">
        <v>15</v>
      </c>
      <c r="D16" s="33">
        <v>563</v>
      </c>
      <c r="E16" s="34">
        <v>609</v>
      </c>
      <c r="F16" s="34">
        <v>1600</v>
      </c>
      <c r="G16" s="34">
        <v>2420</v>
      </c>
      <c r="H16" s="34">
        <v>2430</v>
      </c>
      <c r="I16" s="34">
        <v>2880</v>
      </c>
      <c r="J16" s="34"/>
      <c r="K16" s="34"/>
      <c r="L16" s="34"/>
      <c r="M16" s="34"/>
      <c r="N16" s="34"/>
      <c r="O16" s="34"/>
      <c r="P16" s="21"/>
      <c r="Q16" s="23"/>
      <c r="R16" s="23"/>
    </row>
    <row r="17" spans="1:18" x14ac:dyDescent="0.2">
      <c r="C17" s="16" t="s">
        <v>17</v>
      </c>
      <c r="D17" s="29">
        <f t="shared" ref="D17:O17" si="7">SUM(D14:D16)</f>
        <v>2230</v>
      </c>
      <c r="E17" s="16">
        <f t="shared" si="7"/>
        <v>2422</v>
      </c>
      <c r="F17" s="16">
        <f t="shared" si="7"/>
        <v>6370</v>
      </c>
      <c r="G17" s="16">
        <f t="shared" si="7"/>
        <v>9740</v>
      </c>
      <c r="H17" s="16">
        <f t="shared" si="7"/>
        <v>9880</v>
      </c>
      <c r="I17" s="16">
        <f t="shared" si="7"/>
        <v>11820</v>
      </c>
      <c r="J17" s="16">
        <f t="shared" si="7"/>
        <v>0</v>
      </c>
      <c r="K17" s="16">
        <f t="shared" si="7"/>
        <v>0</v>
      </c>
      <c r="L17" s="16">
        <f t="shared" si="7"/>
        <v>0</v>
      </c>
      <c r="M17" s="16">
        <f t="shared" si="7"/>
        <v>0</v>
      </c>
      <c r="N17" s="16">
        <f t="shared" si="7"/>
        <v>0</v>
      </c>
      <c r="O17" s="16">
        <f t="shared" si="7"/>
        <v>0</v>
      </c>
      <c r="P17" s="21"/>
      <c r="Q17" s="24">
        <f>SUM(D17:O17)</f>
        <v>42462</v>
      </c>
      <c r="R17" s="23"/>
    </row>
    <row r="18" spans="1:18" x14ac:dyDescent="0.2">
      <c r="C18" t="s">
        <v>21</v>
      </c>
      <c r="D18" s="67">
        <v>2407.6204049999997</v>
      </c>
      <c r="E18" s="36">
        <v>3727.0003550000001</v>
      </c>
      <c r="F18" s="36">
        <v>6834.9833500000004</v>
      </c>
      <c r="G18" s="36">
        <v>9096.7775499999989</v>
      </c>
      <c r="H18" s="36">
        <v>10088.79255</v>
      </c>
      <c r="I18" s="36">
        <v>10693.921700000001</v>
      </c>
      <c r="J18" s="36">
        <v>11093.703744999999</v>
      </c>
      <c r="K18" s="36">
        <v>9476.7192950000008</v>
      </c>
      <c r="L18" s="36">
        <v>7445.0725750000001</v>
      </c>
      <c r="M18" s="36">
        <v>4850.9533499999998</v>
      </c>
      <c r="N18" s="36">
        <v>2710.18498</v>
      </c>
      <c r="O18" s="36">
        <v>1957.2455950000001</v>
      </c>
      <c r="P18" s="21"/>
      <c r="Q18" s="67">
        <f>SUM(D18:P18)</f>
        <v>80382.975449999998</v>
      </c>
      <c r="R18" s="23"/>
    </row>
    <row r="19" spans="1:18" s="68" customFormat="1" hidden="1" x14ac:dyDescent="0.2">
      <c r="B19" s="69"/>
      <c r="C19" s="68" t="s">
        <v>36</v>
      </c>
      <c r="D19" s="70">
        <f>D18*0.995</f>
        <v>2395.5823029749995</v>
      </c>
      <c r="E19" s="86">
        <f t="shared" ref="E19:O19" si="8">E18*0.995</f>
        <v>3708.365353225</v>
      </c>
      <c r="F19" s="86">
        <f t="shared" si="8"/>
        <v>6800.8084332500002</v>
      </c>
      <c r="G19" s="86">
        <f t="shared" si="8"/>
        <v>9051.2936622499983</v>
      </c>
      <c r="H19" s="86">
        <f t="shared" si="8"/>
        <v>10038.34858725</v>
      </c>
      <c r="I19" s="86">
        <f t="shared" si="8"/>
        <v>10640.452091500001</v>
      </c>
      <c r="J19" s="86">
        <f t="shared" si="8"/>
        <v>11038.235226274999</v>
      </c>
      <c r="K19" s="86">
        <f t="shared" si="8"/>
        <v>9429.3356985250011</v>
      </c>
      <c r="L19" s="86">
        <f t="shared" si="8"/>
        <v>7407.8472121249997</v>
      </c>
      <c r="M19" s="86">
        <f t="shared" si="8"/>
        <v>4826.6985832499995</v>
      </c>
      <c r="N19" s="86">
        <f t="shared" si="8"/>
        <v>2696.6340550999998</v>
      </c>
      <c r="O19" s="86">
        <f t="shared" si="8"/>
        <v>1947.4593670250001</v>
      </c>
      <c r="P19" s="71"/>
      <c r="Q19" s="72"/>
      <c r="R19" s="72"/>
    </row>
    <row r="20" spans="1:18" s="7" customFormat="1" x14ac:dyDescent="0.2">
      <c r="A20" s="5"/>
      <c r="B20" s="6"/>
      <c r="C20" s="5" t="s">
        <v>16</v>
      </c>
      <c r="D20" s="28">
        <f t="shared" ref="D20:O20" si="9">D17/D18*100-100</f>
        <v>-7.3774256369952838</v>
      </c>
      <c r="E20" s="12">
        <f t="shared" si="9"/>
        <v>-35.014763367254901</v>
      </c>
      <c r="F20" s="12">
        <f t="shared" si="9"/>
        <v>-6.8029917000456237</v>
      </c>
      <c r="G20" s="12">
        <f t="shared" si="9"/>
        <v>7.0708824796974454</v>
      </c>
      <c r="H20" s="12">
        <f t="shared" si="9"/>
        <v>-2.0695494427626073</v>
      </c>
      <c r="I20" s="12">
        <f t="shared" si="9"/>
        <v>10.530078034889655</v>
      </c>
      <c r="J20" s="12">
        <f t="shared" si="9"/>
        <v>-100</v>
      </c>
      <c r="K20" s="12">
        <f t="shared" si="9"/>
        <v>-100</v>
      </c>
      <c r="L20" s="12">
        <f t="shared" si="9"/>
        <v>-100</v>
      </c>
      <c r="M20" s="12">
        <f t="shared" si="9"/>
        <v>-100</v>
      </c>
      <c r="N20" s="12">
        <f t="shared" si="9"/>
        <v>-100</v>
      </c>
      <c r="O20" s="12">
        <f t="shared" si="9"/>
        <v>-100</v>
      </c>
      <c r="P20" s="20">
        <f>Q17/(B16+B15+B14)</f>
        <v>493.74418604651163</v>
      </c>
      <c r="Q20" s="32"/>
      <c r="R20" s="26"/>
    </row>
    <row r="21" spans="1:18" x14ac:dyDescent="0.2">
      <c r="A21" s="7" t="s">
        <v>42</v>
      </c>
      <c r="B21" s="53">
        <v>36.799999999999997</v>
      </c>
      <c r="C21" t="s">
        <v>15</v>
      </c>
      <c r="D21" s="33">
        <v>1050</v>
      </c>
      <c r="E21" s="34">
        <v>1117</v>
      </c>
      <c r="F21" s="34">
        <v>2930</v>
      </c>
      <c r="G21" s="34">
        <v>4380</v>
      </c>
      <c r="H21" s="34">
        <v>4370</v>
      </c>
      <c r="I21" s="34">
        <v>5250</v>
      </c>
      <c r="J21" s="34"/>
      <c r="K21" s="34"/>
      <c r="L21" s="34"/>
      <c r="M21" s="34"/>
      <c r="N21" s="34"/>
      <c r="O21" s="34"/>
      <c r="P21" s="21"/>
      <c r="Q21" s="23"/>
      <c r="R21" s="23"/>
    </row>
    <row r="22" spans="1:18" x14ac:dyDescent="0.2">
      <c r="A22" s="7" t="s">
        <v>43</v>
      </c>
      <c r="B22" s="53">
        <v>36.799999999999997</v>
      </c>
      <c r="C22" t="s">
        <v>15</v>
      </c>
      <c r="D22" s="33">
        <v>1020</v>
      </c>
      <c r="E22" s="34">
        <v>1094</v>
      </c>
      <c r="F22" s="34">
        <v>2890</v>
      </c>
      <c r="G22" s="34">
        <v>4340</v>
      </c>
      <c r="H22" s="34">
        <v>4330</v>
      </c>
      <c r="I22" s="34">
        <v>5180</v>
      </c>
      <c r="J22" s="34"/>
      <c r="K22" s="34"/>
      <c r="L22" s="34"/>
      <c r="M22" s="34"/>
      <c r="N22" s="34"/>
      <c r="O22" s="34"/>
      <c r="P22" s="21"/>
      <c r="Q22" s="23"/>
      <c r="R22" s="23"/>
    </row>
    <row r="23" spans="1:18" x14ac:dyDescent="0.2">
      <c r="A23" s="7" t="s">
        <v>44</v>
      </c>
      <c r="B23" s="1">
        <v>21.6</v>
      </c>
      <c r="C23" t="s">
        <v>15</v>
      </c>
      <c r="D23" s="33">
        <v>585</v>
      </c>
      <c r="E23" s="34">
        <v>630</v>
      </c>
      <c r="F23" s="34">
        <v>1630</v>
      </c>
      <c r="G23" s="34">
        <v>2450</v>
      </c>
      <c r="H23" s="34">
        <v>2460</v>
      </c>
      <c r="I23" s="34">
        <v>2970</v>
      </c>
      <c r="J23" s="34"/>
      <c r="K23" s="34"/>
      <c r="L23" s="34"/>
      <c r="M23" s="34"/>
      <c r="N23" s="34"/>
      <c r="O23" s="34"/>
      <c r="P23" s="21"/>
      <c r="Q23" s="23"/>
      <c r="R23" s="23"/>
    </row>
    <row r="24" spans="1:18" x14ac:dyDescent="0.2">
      <c r="A24" s="7" t="s">
        <v>45</v>
      </c>
      <c r="B24" s="1">
        <v>21.6</v>
      </c>
      <c r="C24" t="s">
        <v>15</v>
      </c>
      <c r="D24" s="33">
        <v>623</v>
      </c>
      <c r="E24" s="34">
        <v>666</v>
      </c>
      <c r="F24" s="34">
        <v>1730</v>
      </c>
      <c r="G24" s="34">
        <v>2590</v>
      </c>
      <c r="H24" s="34">
        <v>2570</v>
      </c>
      <c r="I24" s="34">
        <v>3060</v>
      </c>
      <c r="J24" s="34"/>
      <c r="K24" s="34"/>
      <c r="L24" s="34"/>
      <c r="M24" s="34"/>
      <c r="N24" s="34"/>
      <c r="O24" s="34"/>
      <c r="P24" s="21"/>
      <c r="Q24" s="23"/>
      <c r="R24" s="23"/>
    </row>
    <row r="25" spans="1:18" x14ac:dyDescent="0.2">
      <c r="C25" s="16" t="s">
        <v>17</v>
      </c>
      <c r="D25" s="29">
        <f t="shared" ref="D25:H25" si="10">SUM(D21:D24)</f>
        <v>3278</v>
      </c>
      <c r="E25" s="16">
        <f t="shared" si="10"/>
        <v>3507</v>
      </c>
      <c r="F25" s="16">
        <f t="shared" si="10"/>
        <v>9180</v>
      </c>
      <c r="G25" s="16">
        <f t="shared" si="10"/>
        <v>13760</v>
      </c>
      <c r="H25" s="16">
        <f t="shared" si="10"/>
        <v>13730</v>
      </c>
      <c r="I25" s="16">
        <f>SUM(I21:I24)</f>
        <v>16460</v>
      </c>
      <c r="J25" s="16">
        <f t="shared" ref="J25:O25" si="11">SUM(J21:J24)</f>
        <v>0</v>
      </c>
      <c r="K25" s="16">
        <f t="shared" si="11"/>
        <v>0</v>
      </c>
      <c r="L25" s="16">
        <f t="shared" si="11"/>
        <v>0</v>
      </c>
      <c r="M25" s="16">
        <f t="shared" si="11"/>
        <v>0</v>
      </c>
      <c r="N25" s="16">
        <f t="shared" si="11"/>
        <v>0</v>
      </c>
      <c r="O25" s="16">
        <f t="shared" si="11"/>
        <v>0</v>
      </c>
      <c r="P25" s="21"/>
      <c r="Q25" s="24">
        <f>SUM(D25:O25)</f>
        <v>59915</v>
      </c>
      <c r="R25" s="23"/>
    </row>
    <row r="26" spans="1:18" x14ac:dyDescent="0.2">
      <c r="C26" t="s">
        <v>21</v>
      </c>
      <c r="D26" s="67">
        <v>3392.6913</v>
      </c>
      <c r="E26" s="36">
        <v>5188.2384500000007</v>
      </c>
      <c r="F26" s="36">
        <v>9394.3820500000002</v>
      </c>
      <c r="G26" s="36">
        <v>12370.42705</v>
      </c>
      <c r="H26" s="36">
        <v>13600.525650000001</v>
      </c>
      <c r="I26" s="36">
        <v>14404.0578</v>
      </c>
      <c r="J26" s="36">
        <v>14949.66605</v>
      </c>
      <c r="K26" s="36">
        <v>12866.43455</v>
      </c>
      <c r="L26" s="36">
        <v>10207.834349999999</v>
      </c>
      <c r="M26" s="36">
        <v>6745.7020000000002</v>
      </c>
      <c r="N26" s="36">
        <v>3829.1778999999997</v>
      </c>
      <c r="O26" s="36">
        <v>2807.40245</v>
      </c>
      <c r="P26" s="21"/>
      <c r="Q26" s="67">
        <f>SUM(D26:P26)</f>
        <v>109756.5396</v>
      </c>
      <c r="R26" s="23"/>
    </row>
    <row r="27" spans="1:18" s="68" customFormat="1" hidden="1" x14ac:dyDescent="0.2">
      <c r="B27" s="69"/>
      <c r="C27" s="68" t="s">
        <v>36</v>
      </c>
      <c r="D27" s="70">
        <f>D26*0.995</f>
        <v>3375.7278434999998</v>
      </c>
      <c r="E27" s="86">
        <f t="shared" ref="E27:O27" si="12">E26*0.995</f>
        <v>5162.2972577500004</v>
      </c>
      <c r="F27" s="86">
        <f t="shared" si="12"/>
        <v>9347.4101397499999</v>
      </c>
      <c r="G27" s="86">
        <f t="shared" si="12"/>
        <v>12308.574914750001</v>
      </c>
      <c r="H27" s="86">
        <f t="shared" si="12"/>
        <v>13532.523021750001</v>
      </c>
      <c r="I27" s="86">
        <f t="shared" si="12"/>
        <v>14332.037511</v>
      </c>
      <c r="J27" s="86">
        <f t="shared" si="12"/>
        <v>14874.917719749999</v>
      </c>
      <c r="K27" s="86">
        <f t="shared" si="12"/>
        <v>12802.102377249999</v>
      </c>
      <c r="L27" s="86">
        <f t="shared" si="12"/>
        <v>10156.795178249999</v>
      </c>
      <c r="M27" s="86">
        <f t="shared" si="12"/>
        <v>6711.9734900000003</v>
      </c>
      <c r="N27" s="86">
        <f t="shared" si="12"/>
        <v>3810.0320104999996</v>
      </c>
      <c r="O27" s="86">
        <f t="shared" si="12"/>
        <v>2793.3654377500002</v>
      </c>
      <c r="P27" s="71"/>
      <c r="Q27" s="72"/>
      <c r="R27" s="72"/>
    </row>
    <row r="28" spans="1:18" s="7" customFormat="1" x14ac:dyDescent="0.2">
      <c r="A28" s="5"/>
      <c r="B28" s="6"/>
      <c r="C28" s="5" t="s">
        <v>16</v>
      </c>
      <c r="D28" s="28">
        <f t="shared" ref="D28:O28" si="13">D25/D26*100-100</f>
        <v>-3.3805403987094138</v>
      </c>
      <c r="E28" s="12">
        <f t="shared" si="13"/>
        <v>-32.404803021341479</v>
      </c>
      <c r="F28" s="12">
        <f t="shared" si="13"/>
        <v>-2.2820239677180325</v>
      </c>
      <c r="G28" s="12">
        <f t="shared" si="13"/>
        <v>11.233023277074338</v>
      </c>
      <c r="H28" s="12">
        <f t="shared" si="13"/>
        <v>0.95198048466602359</v>
      </c>
      <c r="I28" s="12">
        <f t="shared" si="13"/>
        <v>14.273354276598354</v>
      </c>
      <c r="J28" s="12">
        <f t="shared" si="13"/>
        <v>-100</v>
      </c>
      <c r="K28" s="12">
        <f t="shared" si="13"/>
        <v>-100</v>
      </c>
      <c r="L28" s="12">
        <f t="shared" si="13"/>
        <v>-100</v>
      </c>
      <c r="M28" s="12">
        <f t="shared" si="13"/>
        <v>-100</v>
      </c>
      <c r="N28" s="12">
        <f t="shared" si="13"/>
        <v>-100</v>
      </c>
      <c r="O28" s="12">
        <f t="shared" si="13"/>
        <v>-100</v>
      </c>
      <c r="P28" s="20">
        <f>Q25/(B24+B23+B22+B21)</f>
        <v>512.97089041095887</v>
      </c>
      <c r="Q28" s="32"/>
      <c r="R28" s="26"/>
    </row>
    <row r="29" spans="1:18" x14ac:dyDescent="0.2">
      <c r="A29" s="7" t="s">
        <v>47</v>
      </c>
      <c r="B29" s="53">
        <v>32.799999999999997</v>
      </c>
      <c r="C29" t="s">
        <v>15</v>
      </c>
      <c r="D29" s="33">
        <v>954</v>
      </c>
      <c r="E29" s="34">
        <v>997</v>
      </c>
      <c r="F29" s="34">
        <v>2660</v>
      </c>
      <c r="G29" s="34">
        <v>4000</v>
      </c>
      <c r="H29" s="34">
        <v>4010</v>
      </c>
      <c r="I29" s="34">
        <v>4760</v>
      </c>
      <c r="J29" s="34"/>
      <c r="K29" s="34"/>
      <c r="L29" s="34"/>
      <c r="M29" s="34"/>
      <c r="N29" s="34"/>
      <c r="O29" s="34"/>
      <c r="P29" s="21"/>
      <c r="Q29" s="23"/>
      <c r="R29" s="23"/>
    </row>
    <row r="30" spans="1:18" x14ac:dyDescent="0.2">
      <c r="A30" s="7" t="s">
        <v>46</v>
      </c>
      <c r="B30" s="1">
        <v>40.4</v>
      </c>
      <c r="C30" t="s">
        <v>15</v>
      </c>
      <c r="D30" s="33">
        <v>1120</v>
      </c>
      <c r="E30" s="34">
        <v>1200</v>
      </c>
      <c r="F30" s="34">
        <v>3120</v>
      </c>
      <c r="G30" s="34">
        <v>4710</v>
      </c>
      <c r="H30" s="34">
        <v>4440</v>
      </c>
      <c r="I30" s="34">
        <v>5680</v>
      </c>
      <c r="J30" s="34"/>
      <c r="K30" s="34"/>
      <c r="L30" s="34"/>
      <c r="M30" s="34"/>
      <c r="N30" s="34"/>
      <c r="O30" s="34"/>
      <c r="P30" s="21"/>
      <c r="Q30" s="23"/>
      <c r="R30" s="23"/>
    </row>
    <row r="31" spans="1:18" x14ac:dyDescent="0.2">
      <c r="A31" s="7" t="s">
        <v>48</v>
      </c>
      <c r="B31" s="1">
        <v>22.8</v>
      </c>
      <c r="C31" t="s">
        <v>15</v>
      </c>
      <c r="D31" s="33">
        <v>628</v>
      </c>
      <c r="E31" s="34">
        <v>685</v>
      </c>
      <c r="F31" s="34">
        <v>1790</v>
      </c>
      <c r="G31" s="34">
        <v>2710</v>
      </c>
      <c r="H31" s="34">
        <v>2700</v>
      </c>
      <c r="I31" s="34">
        <v>3280</v>
      </c>
      <c r="J31" s="34"/>
      <c r="K31" s="34"/>
      <c r="L31" s="34"/>
      <c r="M31" s="34"/>
      <c r="N31" s="34"/>
      <c r="O31" s="34"/>
      <c r="P31" s="21"/>
      <c r="Q31" s="23"/>
      <c r="R31" s="23"/>
    </row>
    <row r="32" spans="1:18" x14ac:dyDescent="0.2">
      <c r="C32" s="16" t="s">
        <v>17</v>
      </c>
      <c r="D32" s="29">
        <f t="shared" ref="D32:O32" si="14">SUM(D29:D31)</f>
        <v>2702</v>
      </c>
      <c r="E32" s="16">
        <f t="shared" si="14"/>
        <v>2882</v>
      </c>
      <c r="F32" s="16">
        <f t="shared" si="14"/>
        <v>7570</v>
      </c>
      <c r="G32" s="16">
        <f t="shared" si="14"/>
        <v>11420</v>
      </c>
      <c r="H32" s="16">
        <f t="shared" si="14"/>
        <v>11150</v>
      </c>
      <c r="I32" s="16">
        <f t="shared" si="14"/>
        <v>13720</v>
      </c>
      <c r="J32" s="16">
        <f t="shared" si="14"/>
        <v>0</v>
      </c>
      <c r="K32" s="16">
        <f t="shared" si="14"/>
        <v>0</v>
      </c>
      <c r="L32" s="16">
        <f t="shared" si="14"/>
        <v>0</v>
      </c>
      <c r="M32" s="16">
        <f t="shared" si="14"/>
        <v>0</v>
      </c>
      <c r="N32" s="16">
        <f t="shared" si="14"/>
        <v>0</v>
      </c>
      <c r="O32" s="16">
        <f t="shared" si="14"/>
        <v>0</v>
      </c>
      <c r="P32" s="21"/>
      <c r="Q32" s="24">
        <f>SUM(D32:O32)</f>
        <v>49444</v>
      </c>
      <c r="R32" s="23"/>
    </row>
    <row r="33" spans="1:18" x14ac:dyDescent="0.2">
      <c r="C33" t="s">
        <v>21</v>
      </c>
      <c r="D33" s="67">
        <v>2747.8815500000001</v>
      </c>
      <c r="E33" s="36">
        <v>4166.4629999999997</v>
      </c>
      <c r="F33" s="36">
        <v>7549.2341500000002</v>
      </c>
      <c r="G33" s="36">
        <v>9939.9902999999995</v>
      </c>
      <c r="H33" s="36">
        <v>10952.837615</v>
      </c>
      <c r="I33" s="36">
        <v>11558.958779999999</v>
      </c>
      <c r="J33" s="36">
        <v>12034.133964999999</v>
      </c>
      <c r="K33" s="36">
        <v>10320.924059999999</v>
      </c>
      <c r="L33" s="36">
        <v>8189.0838250000006</v>
      </c>
      <c r="M33" s="36">
        <v>5399.5376449999994</v>
      </c>
      <c r="N33" s="36">
        <v>3063.3423199999997</v>
      </c>
      <c r="O33" s="36">
        <v>2262.7862149999996</v>
      </c>
      <c r="P33" s="21"/>
      <c r="Q33" s="67">
        <f>SUM(D33:P33)</f>
        <v>88185.173425000001</v>
      </c>
      <c r="R33" s="23"/>
    </row>
    <row r="34" spans="1:18" s="68" customFormat="1" hidden="1" x14ac:dyDescent="0.2">
      <c r="B34" s="69"/>
      <c r="C34" s="68" t="s">
        <v>36</v>
      </c>
      <c r="D34" s="70">
        <f>D33*0.995</f>
        <v>2734.1421422500002</v>
      </c>
      <c r="E34" s="86">
        <f t="shared" ref="E34:O34" si="15">E33*0.995</f>
        <v>4145.6306850000001</v>
      </c>
      <c r="F34" s="86">
        <f t="shared" si="15"/>
        <v>7511.4879792500005</v>
      </c>
      <c r="G34" s="86">
        <f t="shared" si="15"/>
        <v>9890.2903484999988</v>
      </c>
      <c r="H34" s="86">
        <f t="shared" si="15"/>
        <v>10898.073426925001</v>
      </c>
      <c r="I34" s="86">
        <f t="shared" si="15"/>
        <v>11501.163986099999</v>
      </c>
      <c r="J34" s="86">
        <f t="shared" si="15"/>
        <v>11973.963295174999</v>
      </c>
      <c r="K34" s="86">
        <f t="shared" si="15"/>
        <v>10269.319439699999</v>
      </c>
      <c r="L34" s="86">
        <f t="shared" si="15"/>
        <v>8148.1384058750009</v>
      </c>
      <c r="M34" s="86">
        <f t="shared" si="15"/>
        <v>5372.5399567749992</v>
      </c>
      <c r="N34" s="86">
        <f t="shared" si="15"/>
        <v>3048.0256083999998</v>
      </c>
      <c r="O34" s="86">
        <f t="shared" si="15"/>
        <v>2251.4722839249998</v>
      </c>
      <c r="P34" s="71"/>
      <c r="Q34" s="72"/>
      <c r="R34" s="72"/>
    </row>
    <row r="35" spans="1:18" s="7" customFormat="1" x14ac:dyDescent="0.2">
      <c r="A35" s="5"/>
      <c r="B35" s="6"/>
      <c r="C35" s="5" t="s">
        <v>16</v>
      </c>
      <c r="D35" s="28">
        <f t="shared" ref="D35:O35" si="16">D32/D33*100-100</f>
        <v>-1.6697062506205924</v>
      </c>
      <c r="E35" s="12">
        <f t="shared" si="16"/>
        <v>-30.828618902891975</v>
      </c>
      <c r="F35" s="12">
        <f t="shared" si="16"/>
        <v>0.27507227339080487</v>
      </c>
      <c r="G35" s="12">
        <f t="shared" si="16"/>
        <v>14.889448131554019</v>
      </c>
      <c r="H35" s="12">
        <f t="shared" si="16"/>
        <v>1.8001032420126677</v>
      </c>
      <c r="I35" s="12">
        <f t="shared" si="16"/>
        <v>18.695812149959082</v>
      </c>
      <c r="J35" s="12">
        <f t="shared" si="16"/>
        <v>-100</v>
      </c>
      <c r="K35" s="12">
        <f t="shared" si="16"/>
        <v>-100</v>
      </c>
      <c r="L35" s="12">
        <f t="shared" si="16"/>
        <v>-100</v>
      </c>
      <c r="M35" s="12">
        <f t="shared" si="16"/>
        <v>-100</v>
      </c>
      <c r="N35" s="12">
        <f t="shared" si="16"/>
        <v>-100</v>
      </c>
      <c r="O35" s="12">
        <f t="shared" si="16"/>
        <v>-100</v>
      </c>
      <c r="P35" s="20">
        <f>Q32/(B31+B30+B29)</f>
        <v>515.04166666666663</v>
      </c>
      <c r="Q35" s="32"/>
      <c r="R35" s="26"/>
    </row>
    <row r="36" spans="1:18" x14ac:dyDescent="0.2">
      <c r="A36" s="7" t="s">
        <v>52</v>
      </c>
      <c r="B36" s="53">
        <v>43.05</v>
      </c>
      <c r="C36" t="s">
        <v>15</v>
      </c>
      <c r="D36" s="33">
        <v>1120</v>
      </c>
      <c r="E36" s="34">
        <v>1397</v>
      </c>
      <c r="F36" s="34">
        <v>3460</v>
      </c>
      <c r="G36" s="34">
        <v>5590</v>
      </c>
      <c r="H36" s="34">
        <v>5660</v>
      </c>
      <c r="I36" s="34">
        <v>6820</v>
      </c>
      <c r="J36" s="34"/>
      <c r="K36" s="34"/>
      <c r="L36" s="34"/>
      <c r="M36" s="34"/>
      <c r="N36" s="34"/>
      <c r="O36" s="34"/>
      <c r="P36" s="21"/>
      <c r="Q36" s="23"/>
      <c r="R36" s="23"/>
    </row>
    <row r="37" spans="1:18" x14ac:dyDescent="0.2">
      <c r="A37" s="7" t="s">
        <v>53</v>
      </c>
      <c r="B37" s="1">
        <v>23.37</v>
      </c>
      <c r="C37" t="s">
        <v>15</v>
      </c>
      <c r="D37" s="33">
        <v>647</v>
      </c>
      <c r="E37" s="34">
        <v>774</v>
      </c>
      <c r="F37" s="34">
        <v>1900</v>
      </c>
      <c r="G37" s="34">
        <v>3010</v>
      </c>
      <c r="H37" s="34">
        <v>3030</v>
      </c>
      <c r="I37" s="34">
        <v>3670</v>
      </c>
      <c r="J37" s="34"/>
      <c r="K37" s="34"/>
      <c r="L37" s="34"/>
      <c r="M37" s="34"/>
      <c r="N37" s="34"/>
      <c r="O37" s="34"/>
      <c r="P37" s="21"/>
      <c r="Q37" s="23"/>
      <c r="R37" s="23"/>
    </row>
    <row r="38" spans="1:18" x14ac:dyDescent="0.2">
      <c r="C38" s="16" t="s">
        <v>17</v>
      </c>
      <c r="D38" s="29">
        <f t="shared" ref="D38:O38" si="17">SUM(D36:D37)</f>
        <v>1767</v>
      </c>
      <c r="E38" s="16">
        <f t="shared" si="17"/>
        <v>2171</v>
      </c>
      <c r="F38" s="16">
        <f t="shared" si="17"/>
        <v>5360</v>
      </c>
      <c r="G38" s="16">
        <f t="shared" si="17"/>
        <v>8600</v>
      </c>
      <c r="H38" s="16">
        <f t="shared" si="17"/>
        <v>8690</v>
      </c>
      <c r="I38" s="16">
        <f t="shared" si="17"/>
        <v>10490</v>
      </c>
      <c r="J38" s="16">
        <f t="shared" si="17"/>
        <v>0</v>
      </c>
      <c r="K38" s="16">
        <f>SUM(K36:K37)</f>
        <v>0</v>
      </c>
      <c r="L38" s="16">
        <f t="shared" si="17"/>
        <v>0</v>
      </c>
      <c r="M38" s="16">
        <f t="shared" si="17"/>
        <v>0</v>
      </c>
      <c r="N38" s="16">
        <f t="shared" si="17"/>
        <v>0</v>
      </c>
      <c r="O38" s="16">
        <f t="shared" si="17"/>
        <v>0</v>
      </c>
      <c r="P38" s="21"/>
      <c r="Q38" s="24">
        <f>SUM(D38:O38)</f>
        <v>37078</v>
      </c>
      <c r="R38" s="23"/>
    </row>
    <row r="39" spans="1:18" x14ac:dyDescent="0.2">
      <c r="C39" t="s">
        <v>21</v>
      </c>
      <c r="D39" s="67">
        <v>1756.7139999999999</v>
      </c>
      <c r="E39" s="36">
        <v>2764.681</v>
      </c>
      <c r="F39" s="36">
        <v>5145.5169999999998</v>
      </c>
      <c r="G39" s="36">
        <v>6983.9849999999997</v>
      </c>
      <c r="H39" s="36">
        <v>7757.6570000000002</v>
      </c>
      <c r="I39" s="36">
        <v>8315.9770000000008</v>
      </c>
      <c r="J39" s="36">
        <v>8527.3410000000003</v>
      </c>
      <c r="K39" s="36">
        <v>7274.1120000000001</v>
      </c>
      <c r="L39" s="36">
        <v>5678.9120000000003</v>
      </c>
      <c r="M39" s="36">
        <v>3690.8939999999998</v>
      </c>
      <c r="N39" s="36">
        <v>2046.8409999999999</v>
      </c>
      <c r="O39" s="36">
        <v>1465.59</v>
      </c>
      <c r="P39" s="21"/>
      <c r="Q39" s="67">
        <f>SUM(D39:P39)</f>
        <v>61408.221000000005</v>
      </c>
      <c r="R39" s="23"/>
    </row>
    <row r="40" spans="1:18" s="68" customFormat="1" hidden="1" x14ac:dyDescent="0.2">
      <c r="B40" s="69"/>
      <c r="C40" s="68" t="s">
        <v>36</v>
      </c>
      <c r="D40" s="70">
        <f>D39*0.995</f>
        <v>1747.9304299999999</v>
      </c>
      <c r="E40" s="70">
        <f t="shared" ref="E40:O40" si="18">E39*0.995</f>
        <v>2750.8575949999999</v>
      </c>
      <c r="F40" s="70">
        <f t="shared" si="18"/>
        <v>5119.7894150000002</v>
      </c>
      <c r="G40" s="70">
        <f t="shared" si="18"/>
        <v>6949.0650749999995</v>
      </c>
      <c r="H40" s="70">
        <f t="shared" si="18"/>
        <v>7718.8687150000005</v>
      </c>
      <c r="I40" s="70">
        <f t="shared" si="18"/>
        <v>8274.3971150000016</v>
      </c>
      <c r="J40" s="70">
        <f t="shared" si="18"/>
        <v>8484.7042949999995</v>
      </c>
      <c r="K40" s="70">
        <f t="shared" si="18"/>
        <v>7237.7414399999998</v>
      </c>
      <c r="L40" s="70">
        <f t="shared" si="18"/>
        <v>5650.5174400000005</v>
      </c>
      <c r="M40" s="70">
        <f t="shared" si="18"/>
        <v>3672.4395299999996</v>
      </c>
      <c r="N40" s="70">
        <f t="shared" si="18"/>
        <v>2036.6067949999999</v>
      </c>
      <c r="O40" s="70">
        <f t="shared" si="18"/>
        <v>1458.2620499999998</v>
      </c>
      <c r="P40" s="71"/>
      <c r="Q40" s="72"/>
      <c r="R40" s="72"/>
    </row>
    <row r="41" spans="1:18" s="7" customFormat="1" x14ac:dyDescent="0.2">
      <c r="A41" s="5"/>
      <c r="B41" s="6"/>
      <c r="C41" s="5" t="s">
        <v>16</v>
      </c>
      <c r="D41" s="28">
        <f t="shared" ref="D41:O41" si="19">D38/D39*100-100</f>
        <v>0.58552502000894435</v>
      </c>
      <c r="E41" s="12">
        <f t="shared" si="19"/>
        <v>-21.473761348958519</v>
      </c>
      <c r="F41" s="12">
        <f t="shared" si="19"/>
        <v>4.1683469319020929</v>
      </c>
      <c r="G41" s="12">
        <f t="shared" si="19"/>
        <v>23.1388669935574</v>
      </c>
      <c r="H41" s="12">
        <f t="shared" si="19"/>
        <v>12.018358120241729</v>
      </c>
      <c r="I41" s="12">
        <f t="shared" si="19"/>
        <v>26.142725021966754</v>
      </c>
      <c r="J41" s="12">
        <f t="shared" si="19"/>
        <v>-100</v>
      </c>
      <c r="K41" s="12">
        <f t="shared" si="19"/>
        <v>-100</v>
      </c>
      <c r="L41" s="12">
        <f t="shared" si="19"/>
        <v>-100</v>
      </c>
      <c r="M41" s="12">
        <f t="shared" si="19"/>
        <v>-100</v>
      </c>
      <c r="N41" s="12">
        <f t="shared" si="19"/>
        <v>-100</v>
      </c>
      <c r="O41" s="12">
        <f t="shared" si="19"/>
        <v>-100</v>
      </c>
      <c r="P41" s="20">
        <f>Q38/(B37+B36)</f>
        <v>558.2354712436013</v>
      </c>
      <c r="Q41" s="32"/>
      <c r="R41" s="26"/>
    </row>
    <row r="42" spans="1:18" s="7" customFormat="1" x14ac:dyDescent="0.2">
      <c r="B42" s="10"/>
      <c r="D42" s="24"/>
      <c r="P42" s="22"/>
      <c r="Q42" s="24"/>
      <c r="R42" s="24"/>
    </row>
    <row r="43" spans="1:18" s="9" customFormat="1" ht="16" x14ac:dyDescent="0.2">
      <c r="A43" s="44" t="s">
        <v>41</v>
      </c>
      <c r="B43" s="45">
        <f>SUM(B2:B37)</f>
        <v>463.6400000000001</v>
      </c>
      <c r="C43" s="46" t="s">
        <v>25</v>
      </c>
      <c r="D43" s="44">
        <f t="shared" ref="D43:O44" si="20">D10+D2+D17+D25+D32+D38</f>
        <v>12260</v>
      </c>
      <c r="E43" s="44">
        <f t="shared" si="20"/>
        <v>13468</v>
      </c>
      <c r="F43" s="44">
        <f t="shared" si="20"/>
        <v>35035</v>
      </c>
      <c r="G43" s="44">
        <f t="shared" si="20"/>
        <v>53610</v>
      </c>
      <c r="H43" s="44">
        <f t="shared" si="20"/>
        <v>53760</v>
      </c>
      <c r="I43" s="44">
        <f t="shared" si="20"/>
        <v>64920</v>
      </c>
      <c r="J43" s="44">
        <f t="shared" si="20"/>
        <v>0</v>
      </c>
      <c r="K43" s="44">
        <f t="shared" si="20"/>
        <v>0</v>
      </c>
      <c r="L43" s="44">
        <f>L10+L2+L17+L25+L32+L38</f>
        <v>0</v>
      </c>
      <c r="M43" s="44">
        <f t="shared" si="20"/>
        <v>0</v>
      </c>
      <c r="N43" s="44">
        <f t="shared" si="20"/>
        <v>0</v>
      </c>
      <c r="O43" s="44">
        <f t="shared" si="20"/>
        <v>0</v>
      </c>
      <c r="P43" s="47">
        <f>Q43/B43</f>
        <v>502.65939090673788</v>
      </c>
      <c r="Q43" s="64">
        <f>Q2+Q10+Q17+Q25+Q32+Q38</f>
        <v>233053</v>
      </c>
      <c r="R43" s="48"/>
    </row>
    <row r="44" spans="1:18" ht="16" x14ac:dyDescent="0.2">
      <c r="A44" s="23"/>
      <c r="C44" s="49" t="s">
        <v>26</v>
      </c>
      <c r="D44" s="74">
        <f>D11+D3+D18+D26+D33+D39</f>
        <v>13073.596319625</v>
      </c>
      <c r="E44" s="74">
        <f t="shared" si="20"/>
        <v>20172.644541275</v>
      </c>
      <c r="F44" s="74">
        <f>F11+F3+F18+F26+F33+F39</f>
        <v>36964.665969049995</v>
      </c>
      <c r="G44" s="74">
        <f t="shared" si="20"/>
        <v>49216.211262474993</v>
      </c>
      <c r="H44" s="74">
        <f t="shared" si="20"/>
        <v>54475.442767449997</v>
      </c>
      <c r="I44" s="74">
        <f t="shared" si="20"/>
        <v>57819.435128875004</v>
      </c>
      <c r="J44" s="74">
        <f t="shared" si="20"/>
        <v>59925.150972874995</v>
      </c>
      <c r="K44" s="74">
        <f t="shared" si="20"/>
        <v>51263.658114449994</v>
      </c>
      <c r="L44" s="74">
        <f t="shared" si="20"/>
        <v>40311.613912050001</v>
      </c>
      <c r="M44" s="74">
        <f t="shared" si="20"/>
        <v>26340.937605400002</v>
      </c>
      <c r="N44" s="74">
        <f t="shared" si="20"/>
        <v>14795.290245975</v>
      </c>
      <c r="O44" s="74">
        <f t="shared" si="20"/>
        <v>10742.522434075001</v>
      </c>
      <c r="P44" s="87"/>
      <c r="Q44" s="63">
        <f>SUM(D44:O44)</f>
        <v>435101.16927357507</v>
      </c>
      <c r="R44" s="51"/>
    </row>
    <row r="45" spans="1:18" x14ac:dyDescent="0.2">
      <c r="A45" s="23"/>
      <c r="B45"/>
      <c r="C45" s="14" t="s">
        <v>16</v>
      </c>
      <c r="D45" s="31">
        <f>D43/D44*100-100</f>
        <v>-6.2232020917128636</v>
      </c>
      <c r="E45" s="15">
        <f t="shared" ref="E45:L45" si="21">E43/E44*100-100</f>
        <v>-33.236319251829912</v>
      </c>
      <c r="F45" s="15">
        <f t="shared" si="21"/>
        <v>-5.2202986783802601</v>
      </c>
      <c r="G45" s="15">
        <f t="shared" si="21"/>
        <v>8.9275233196892856</v>
      </c>
      <c r="H45" s="15">
        <f t="shared" si="21"/>
        <v>-1.3133307984372777</v>
      </c>
      <c r="I45" s="15">
        <f>I43/I44*100-100</f>
        <v>12.280584988937363</v>
      </c>
      <c r="J45" s="15">
        <f t="shared" si="21"/>
        <v>-100</v>
      </c>
      <c r="K45" s="15">
        <f t="shared" si="21"/>
        <v>-100</v>
      </c>
      <c r="L45" s="15">
        <f t="shared" si="21"/>
        <v>-100</v>
      </c>
      <c r="M45" s="15">
        <f>M43/M44*100-100</f>
        <v>-100</v>
      </c>
      <c r="N45" s="15">
        <f t="shared" ref="N45:O45" si="22">N43/N44*100-100</f>
        <v>-100</v>
      </c>
      <c r="O45" s="15">
        <f t="shared" si="22"/>
        <v>-100</v>
      </c>
      <c r="P45" s="23"/>
      <c r="Q45" s="23"/>
      <c r="R45" s="52"/>
    </row>
    <row r="46" spans="1:18" x14ac:dyDescent="0.2">
      <c r="A46" s="23"/>
      <c r="B46"/>
      <c r="C46" s="77" t="s">
        <v>49</v>
      </c>
      <c r="D46" s="78">
        <f>D43/B43</f>
        <v>26.442929859373645</v>
      </c>
      <c r="E46" s="79">
        <f>E43/B43</f>
        <v>29.048399620395127</v>
      </c>
      <c r="F46" s="79">
        <f>F43/B43</f>
        <v>75.565093607108949</v>
      </c>
      <c r="G46" s="79">
        <f>G43/B43</f>
        <v>115.62850487447155</v>
      </c>
      <c r="H46" s="79">
        <f>H43/B43</f>
        <v>115.95203174877058</v>
      </c>
      <c r="I46" s="79">
        <f>I43/B43</f>
        <v>140.02243119661804</v>
      </c>
      <c r="J46" s="79">
        <f>J43/B43</f>
        <v>0</v>
      </c>
      <c r="K46" s="79">
        <f>K43/B43</f>
        <v>0</v>
      </c>
      <c r="L46" s="79">
        <f>L43/B43</f>
        <v>0</v>
      </c>
      <c r="M46" s="79">
        <f>M43/B43</f>
        <v>0</v>
      </c>
      <c r="N46" s="79">
        <f>N43/B43</f>
        <v>0</v>
      </c>
      <c r="O46" s="79">
        <f>O43/B43</f>
        <v>0</v>
      </c>
      <c r="P46" s="23"/>
      <c r="Q46" s="23"/>
      <c r="R46" s="52"/>
    </row>
    <row r="47" spans="1:18" x14ac:dyDescent="0.2">
      <c r="A47" s="23" t="s">
        <v>32</v>
      </c>
      <c r="B47" s="53">
        <v>43.47</v>
      </c>
      <c r="C47" s="39" t="s">
        <v>50</v>
      </c>
      <c r="D47" s="40">
        <f>930/B47</f>
        <v>21.394064872325742</v>
      </c>
      <c r="E47" s="41">
        <f>1030/B47</f>
        <v>23.694501955371521</v>
      </c>
      <c r="F47" s="41">
        <f>2730/B47</f>
        <v>62.80193236714976</v>
      </c>
      <c r="G47" s="41">
        <f>4260/B47</f>
        <v>97.998619737750175</v>
      </c>
      <c r="H47" s="41">
        <f>4450/B47</f>
        <v>102.36945019553715</v>
      </c>
      <c r="I47" s="41">
        <f>5430/B47</f>
        <v>124.91373360938579</v>
      </c>
      <c r="J47" s="41"/>
      <c r="K47" s="41"/>
      <c r="L47" s="41"/>
      <c r="M47" s="41"/>
      <c r="N47" s="41"/>
      <c r="O47" s="41"/>
      <c r="P47" s="43">
        <f>Q47/B47</f>
        <v>850.24154589371983</v>
      </c>
      <c r="Q47" s="65">
        <v>36960</v>
      </c>
      <c r="R47" s="52"/>
    </row>
    <row r="48" spans="1:18" x14ac:dyDescent="0.2">
      <c r="A48" s="23"/>
      <c r="B48"/>
      <c r="C48" s="38" t="s">
        <v>18</v>
      </c>
      <c r="D48" s="83">
        <v>34</v>
      </c>
      <c r="E48" s="81">
        <v>39</v>
      </c>
      <c r="F48" s="81">
        <v>96</v>
      </c>
      <c r="G48" s="81">
        <v>157</v>
      </c>
      <c r="H48" s="81">
        <v>163</v>
      </c>
      <c r="I48" s="81">
        <v>205</v>
      </c>
      <c r="J48" s="16"/>
      <c r="K48" s="16"/>
      <c r="L48" s="16"/>
      <c r="M48" s="16"/>
      <c r="N48" s="16"/>
      <c r="O48" s="16"/>
      <c r="P48" s="23"/>
      <c r="Q48" s="23"/>
      <c r="R48" s="82">
        <f>SUM(D48:Q48)</f>
        <v>694</v>
      </c>
    </row>
    <row r="49" spans="1:18" x14ac:dyDescent="0.2">
      <c r="A49" s="54"/>
      <c r="B49" s="55"/>
      <c r="C49" s="56" t="s">
        <v>19</v>
      </c>
      <c r="D49" s="57">
        <v>69</v>
      </c>
      <c r="E49" s="58">
        <v>52</v>
      </c>
      <c r="F49" s="58">
        <v>151</v>
      </c>
      <c r="G49" s="58">
        <v>252</v>
      </c>
      <c r="H49" s="58">
        <v>198</v>
      </c>
      <c r="I49" s="58">
        <v>291</v>
      </c>
      <c r="J49" s="58"/>
      <c r="K49" s="58"/>
      <c r="L49" s="58"/>
      <c r="M49" s="58"/>
      <c r="N49" s="58"/>
      <c r="O49" s="55"/>
      <c r="P49" s="54"/>
      <c r="Q49" s="54">
        <f>SUM(D49:P49)</f>
        <v>1013</v>
      </c>
      <c r="R49" s="59"/>
    </row>
    <row r="50" spans="1:18" x14ac:dyDescent="0.2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6" x14ac:dyDescent="0.2">
      <c r="A51" s="17" t="s">
        <v>22</v>
      </c>
      <c r="B51" s="37" t="s">
        <v>24</v>
      </c>
    </row>
    <row r="53" spans="1:18" x14ac:dyDescent="0.2">
      <c r="A53" s="76"/>
    </row>
    <row r="54" spans="1:18" x14ac:dyDescent="0.2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8" x14ac:dyDescent="0.2">
      <c r="A55" s="76"/>
    </row>
    <row r="56" spans="1:18" x14ac:dyDescent="0.2">
      <c r="A56" s="76"/>
    </row>
    <row r="57" spans="1:18" x14ac:dyDescent="0.2">
      <c r="A57" s="76"/>
    </row>
    <row r="58" spans="1:18" x14ac:dyDescent="0.2">
      <c r="A58" s="76"/>
    </row>
    <row r="59" spans="1:18" x14ac:dyDescent="0.2">
      <c r="A59" s="76"/>
    </row>
    <row r="60" spans="1:18" x14ac:dyDescent="0.2">
      <c r="A60" s="76"/>
    </row>
    <row r="61" spans="1:18" x14ac:dyDescent="0.2">
      <c r="A61" s="76"/>
    </row>
    <row r="62" spans="1:18" x14ac:dyDescent="0.2">
      <c r="A62" s="76"/>
    </row>
    <row r="63" spans="1:18" x14ac:dyDescent="0.2">
      <c r="A63" s="76"/>
    </row>
    <row r="64" spans="1:18" x14ac:dyDescent="0.2">
      <c r="A64" s="76"/>
    </row>
    <row r="65" spans="1:1" x14ac:dyDescent="0.2">
      <c r="A65" s="76"/>
    </row>
    <row r="66" spans="1:1" x14ac:dyDescent="0.2">
      <c r="A66" s="76"/>
    </row>
    <row r="67" spans="1:1" x14ac:dyDescent="0.2">
      <c r="A67" s="76"/>
    </row>
  </sheetData>
  <hyperlinks>
    <hyperlink ref="C49" r:id="rId1" xr:uid="{BC0EFFB1-C2AB-40CD-B2E6-1644F82BADD5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FA05-EB0A-40B6-A11B-18CD13A39156}">
  <dimension ref="A1:R67"/>
  <sheetViews>
    <sheetView zoomScaleNormal="100" zoomScalePageLayoutView="70" workbookViewId="0">
      <pane xSplit="3" ySplit="1" topLeftCell="D16" activePane="bottomRight" state="frozen"/>
      <selection pane="topRight" activeCell="D1" sqref="D1"/>
      <selection pane="bottomLeft" activeCell="A2" sqref="A2"/>
      <selection pane="bottomRight" activeCell="D49" sqref="D49:F49"/>
    </sheetView>
  </sheetViews>
  <sheetFormatPr baseColWidth="10" defaultRowHeight="15" x14ac:dyDescent="0.2"/>
  <cols>
    <col min="1" max="1" width="19.5" bestFit="1" customWidth="1"/>
    <col min="2" max="2" width="9.5" style="1" customWidth="1"/>
    <col min="3" max="3" width="25" customWidth="1"/>
    <col min="4" max="15" width="11.5" customWidth="1"/>
    <col min="16" max="16" width="18.5" style="4" bestFit="1" customWidth="1"/>
    <col min="17" max="17" width="10.83203125" customWidth="1"/>
    <col min="18" max="18" width="27.1640625" bestFit="1" customWidth="1"/>
  </cols>
  <sheetData>
    <row r="1" spans="1:18" ht="29.25" customHeight="1" x14ac:dyDescent="0.2">
      <c r="A1" s="2"/>
      <c r="B1" s="3" t="s">
        <v>20</v>
      </c>
      <c r="C1" s="85" t="s">
        <v>62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">
      <c r="A2" s="7" t="s">
        <v>31</v>
      </c>
      <c r="B2" s="1">
        <v>45.14</v>
      </c>
      <c r="C2" t="s">
        <v>15</v>
      </c>
      <c r="D2" s="33">
        <v>743</v>
      </c>
      <c r="E2" s="34">
        <v>1870</v>
      </c>
      <c r="F2" s="34">
        <v>3040</v>
      </c>
      <c r="G2" s="34">
        <v>3940</v>
      </c>
      <c r="H2" s="34">
        <v>4655</v>
      </c>
      <c r="I2" s="34">
        <v>4630</v>
      </c>
      <c r="J2" s="34">
        <v>5685</v>
      </c>
      <c r="K2" s="34">
        <v>5390</v>
      </c>
      <c r="L2" s="34">
        <v>3280</v>
      </c>
      <c r="M2" s="34">
        <v>1660</v>
      </c>
      <c r="N2" s="34">
        <v>925</v>
      </c>
      <c r="O2" s="34">
        <v>665</v>
      </c>
      <c r="P2" s="19"/>
      <c r="Q2" s="24">
        <f>SUM(D2:O2)</f>
        <v>36483</v>
      </c>
      <c r="R2" s="23"/>
    </row>
    <row r="3" spans="1:18" x14ac:dyDescent="0.2">
      <c r="C3" t="s">
        <v>21</v>
      </c>
      <c r="D3" s="67">
        <v>1323.663425</v>
      </c>
      <c r="E3" s="36">
        <v>2050.3417749999999</v>
      </c>
      <c r="F3" s="36">
        <v>3779.91545</v>
      </c>
      <c r="G3" s="36">
        <v>5060.0177749999993</v>
      </c>
      <c r="H3" s="36">
        <v>5617.4018500000002</v>
      </c>
      <c r="I3" s="36">
        <v>5970.8407750000006</v>
      </c>
      <c r="J3" s="36">
        <v>6196.5664749999996</v>
      </c>
      <c r="K3" s="36">
        <v>5284.7534500000002</v>
      </c>
      <c r="L3" s="36">
        <v>4124.4441500000003</v>
      </c>
      <c r="M3" s="36">
        <v>2673.0675000000001</v>
      </c>
      <c r="N3" s="36">
        <v>1495.9277749999999</v>
      </c>
      <c r="O3" s="36">
        <v>1076.1571750000001</v>
      </c>
      <c r="P3" s="19"/>
      <c r="Q3" s="67">
        <f>SUM(D3:P3)</f>
        <v>44653.097575</v>
      </c>
      <c r="R3" s="23"/>
    </row>
    <row r="4" spans="1:18" s="68" customFormat="1" hidden="1" x14ac:dyDescent="0.2">
      <c r="B4" s="69"/>
      <c r="C4" s="68" t="s">
        <v>36</v>
      </c>
      <c r="D4" s="70">
        <f>D3*0.995</f>
        <v>1317.045107875</v>
      </c>
      <c r="E4" s="86">
        <f t="shared" ref="E4:O4" si="0">E3*0.995</f>
        <v>2040.0900661249998</v>
      </c>
      <c r="F4" s="86">
        <f t="shared" si="0"/>
        <v>3761.0158727499997</v>
      </c>
      <c r="G4" s="86">
        <f t="shared" si="0"/>
        <v>5034.7176861249991</v>
      </c>
      <c r="H4" s="86">
        <f t="shared" si="0"/>
        <v>5589.3148407500003</v>
      </c>
      <c r="I4" s="86">
        <f t="shared" si="0"/>
        <v>5940.9865711250004</v>
      </c>
      <c r="J4" s="86">
        <f t="shared" si="0"/>
        <v>6165.5836426249998</v>
      </c>
      <c r="K4" s="86">
        <f t="shared" si="0"/>
        <v>5258.3296827499998</v>
      </c>
      <c r="L4" s="86">
        <f t="shared" si="0"/>
        <v>4103.8219292499998</v>
      </c>
      <c r="M4" s="86">
        <f t="shared" si="0"/>
        <v>2659.7021625000002</v>
      </c>
      <c r="N4" s="86">
        <f t="shared" si="0"/>
        <v>1488.4481361249998</v>
      </c>
      <c r="O4" s="86">
        <f t="shared" si="0"/>
        <v>1070.7763891250002</v>
      </c>
      <c r="P4" s="73"/>
      <c r="Q4" s="72"/>
      <c r="R4" s="72"/>
    </row>
    <row r="5" spans="1:18" s="7" customFormat="1" x14ac:dyDescent="0.2">
      <c r="A5" s="5"/>
      <c r="B5" s="6"/>
      <c r="C5" s="5" t="s">
        <v>16</v>
      </c>
      <c r="D5" s="28">
        <f t="shared" ref="D5:H5" si="1">D2/D3*100-100</f>
        <v>-43.86790584623126</v>
      </c>
      <c r="E5" s="12">
        <f t="shared" si="1"/>
        <v>-8.7956933423940882</v>
      </c>
      <c r="F5" s="12">
        <f t="shared" si="1"/>
        <v>-19.574920650672226</v>
      </c>
      <c r="G5" s="12">
        <f t="shared" si="1"/>
        <v>-22.134660880712005</v>
      </c>
      <c r="H5" s="12">
        <f t="shared" si="1"/>
        <v>-17.132508510139786</v>
      </c>
      <c r="I5" s="12">
        <f>I2/I3*100-100</f>
        <v>-22.45648185116778</v>
      </c>
      <c r="J5" s="12">
        <f t="shared" ref="J5:O5" si="2">J2/J3*100-100</f>
        <v>-8.2556441065211033</v>
      </c>
      <c r="K5" s="12">
        <f t="shared" si="2"/>
        <v>1.9915129626340473</v>
      </c>
      <c r="L5" s="12">
        <f t="shared" si="2"/>
        <v>-20.474132253675933</v>
      </c>
      <c r="M5" s="12">
        <f t="shared" si="2"/>
        <v>-37.89906165856268</v>
      </c>
      <c r="N5" s="12">
        <f t="shared" si="2"/>
        <v>-38.165463904164753</v>
      </c>
      <c r="O5" s="12">
        <f t="shared" si="2"/>
        <v>-38.206052475559623</v>
      </c>
      <c r="P5" s="20">
        <f>Q2/B2</f>
        <v>808.21887461231722</v>
      </c>
      <c r="Q5" s="32"/>
      <c r="R5" s="26"/>
    </row>
    <row r="6" spans="1:18" x14ac:dyDescent="0.2">
      <c r="A6" s="7" t="s">
        <v>27</v>
      </c>
      <c r="B6" s="1">
        <v>13.32</v>
      </c>
      <c r="C6" t="s">
        <v>15</v>
      </c>
      <c r="D6" s="33">
        <v>191</v>
      </c>
      <c r="E6" s="34">
        <v>520</v>
      </c>
      <c r="F6" s="34">
        <v>882</v>
      </c>
      <c r="G6" s="34">
        <v>1160</v>
      </c>
      <c r="H6" s="34">
        <v>1373</v>
      </c>
      <c r="I6" s="34">
        <v>1380</v>
      </c>
      <c r="J6" s="34">
        <v>1694</v>
      </c>
      <c r="K6" s="34">
        <v>1610</v>
      </c>
      <c r="L6" s="34">
        <v>971</v>
      </c>
      <c r="M6" s="34">
        <v>483</v>
      </c>
      <c r="N6" s="34">
        <v>252</v>
      </c>
      <c r="O6" s="34">
        <v>176</v>
      </c>
      <c r="P6" s="21"/>
      <c r="Q6" s="23"/>
      <c r="R6" s="23"/>
    </row>
    <row r="7" spans="1:18" x14ac:dyDescent="0.2">
      <c r="A7" s="7" t="s">
        <v>28</v>
      </c>
      <c r="B7" s="1">
        <v>13.32</v>
      </c>
      <c r="C7" t="s">
        <v>15</v>
      </c>
      <c r="D7" s="33">
        <v>206</v>
      </c>
      <c r="E7" s="34">
        <v>525</v>
      </c>
      <c r="F7" s="34">
        <v>877</v>
      </c>
      <c r="G7" s="34">
        <v>1160</v>
      </c>
      <c r="H7" s="34">
        <v>1392</v>
      </c>
      <c r="I7" s="34">
        <v>1400</v>
      </c>
      <c r="J7" s="34">
        <v>1704</v>
      </c>
      <c r="K7" s="34">
        <v>1620</v>
      </c>
      <c r="L7" s="34">
        <v>979</v>
      </c>
      <c r="M7" s="34">
        <v>486</v>
      </c>
      <c r="N7" s="34">
        <v>262</v>
      </c>
      <c r="O7" s="34">
        <v>184</v>
      </c>
      <c r="P7" s="21"/>
      <c r="Q7" s="23"/>
      <c r="R7" s="23"/>
    </row>
    <row r="8" spans="1:18" x14ac:dyDescent="0.2">
      <c r="A8" s="7" t="s">
        <v>29</v>
      </c>
      <c r="B8" s="1">
        <v>13.32</v>
      </c>
      <c r="C8" t="s">
        <v>15</v>
      </c>
      <c r="D8" s="33">
        <v>209</v>
      </c>
      <c r="E8" s="34">
        <v>528</v>
      </c>
      <c r="F8" s="34">
        <v>868</v>
      </c>
      <c r="G8" s="34">
        <v>1130</v>
      </c>
      <c r="H8" s="34">
        <v>1364</v>
      </c>
      <c r="I8" s="34">
        <v>1360</v>
      </c>
      <c r="J8" s="34">
        <v>1645</v>
      </c>
      <c r="K8" s="34">
        <v>1560</v>
      </c>
      <c r="L8" s="34">
        <v>950</v>
      </c>
      <c r="M8" s="34">
        <v>475</v>
      </c>
      <c r="N8" s="34">
        <v>258</v>
      </c>
      <c r="O8" s="34">
        <v>182</v>
      </c>
      <c r="P8" s="21"/>
      <c r="Q8" s="23"/>
      <c r="R8" s="23"/>
    </row>
    <row r="9" spans="1:18" x14ac:dyDescent="0.2">
      <c r="A9" s="7" t="s">
        <v>30</v>
      </c>
      <c r="B9" s="1">
        <v>13.32</v>
      </c>
      <c r="C9" t="s">
        <v>15</v>
      </c>
      <c r="D9" s="33">
        <v>213</v>
      </c>
      <c r="E9" s="34">
        <v>546</v>
      </c>
      <c r="F9" s="34">
        <v>901</v>
      </c>
      <c r="G9" s="34">
        <v>1180</v>
      </c>
      <c r="H9" s="34">
        <v>1381</v>
      </c>
      <c r="I9" s="34">
        <v>1360</v>
      </c>
      <c r="J9" s="34">
        <v>1676</v>
      </c>
      <c r="K9" s="34">
        <v>1590</v>
      </c>
      <c r="L9" s="34">
        <v>963</v>
      </c>
      <c r="M9" s="34">
        <v>479</v>
      </c>
      <c r="N9" s="34">
        <v>259</v>
      </c>
      <c r="O9" s="34">
        <v>182</v>
      </c>
      <c r="P9" s="21"/>
      <c r="Q9" s="23"/>
      <c r="R9" s="23"/>
    </row>
    <row r="10" spans="1:18" x14ac:dyDescent="0.2">
      <c r="C10" s="16" t="s">
        <v>17</v>
      </c>
      <c r="D10" s="29">
        <f t="shared" ref="D10:H10" si="3">SUM(D6:D9)</f>
        <v>819</v>
      </c>
      <c r="E10" s="16">
        <f t="shared" si="3"/>
        <v>2119</v>
      </c>
      <c r="F10" s="16">
        <f t="shared" si="3"/>
        <v>3528</v>
      </c>
      <c r="G10" s="16">
        <f t="shared" si="3"/>
        <v>4630</v>
      </c>
      <c r="H10" s="16">
        <f t="shared" si="3"/>
        <v>5510</v>
      </c>
      <c r="I10" s="16">
        <f>SUM(I6:I9)</f>
        <v>5500</v>
      </c>
      <c r="J10" s="16">
        <f t="shared" ref="J10:O10" si="4">SUM(J6:J9)</f>
        <v>6719</v>
      </c>
      <c r="K10" s="16">
        <f t="shared" si="4"/>
        <v>6380</v>
      </c>
      <c r="L10" s="16">
        <f t="shared" si="4"/>
        <v>3863</v>
      </c>
      <c r="M10" s="16">
        <f t="shared" si="4"/>
        <v>1923</v>
      </c>
      <c r="N10" s="16">
        <f t="shared" si="4"/>
        <v>1031</v>
      </c>
      <c r="O10" s="16">
        <f t="shared" si="4"/>
        <v>724</v>
      </c>
      <c r="P10" s="21"/>
      <c r="Q10" s="24">
        <f>SUM(D10:O10)</f>
        <v>42746</v>
      </c>
      <c r="R10" s="23"/>
    </row>
    <row r="11" spans="1:18" x14ac:dyDescent="0.2">
      <c r="C11" t="s">
        <v>21</v>
      </c>
      <c r="D11" s="67">
        <v>1453.3567</v>
      </c>
      <c r="E11" s="36">
        <v>2288.9378000000002</v>
      </c>
      <c r="F11" s="36">
        <v>4284.8281999999999</v>
      </c>
      <c r="G11" s="36">
        <v>5797.5864000000001</v>
      </c>
      <c r="H11" s="36">
        <v>6494.5639999999994</v>
      </c>
      <c r="I11" s="36">
        <v>6914.3346000000001</v>
      </c>
      <c r="J11" s="36">
        <v>7163.8208999999997</v>
      </c>
      <c r="K11" s="36">
        <v>6074.7933999999996</v>
      </c>
      <c r="L11" s="36">
        <v>4692.7184999999999</v>
      </c>
      <c r="M11" s="36">
        <v>2997.7957000000001</v>
      </c>
      <c r="N11" s="36">
        <v>1659.2819</v>
      </c>
      <c r="O11" s="36">
        <v>1180.1098</v>
      </c>
      <c r="P11" s="21"/>
      <c r="Q11" s="67">
        <f>SUM(D11:P11)</f>
        <v>51002.127900000007</v>
      </c>
      <c r="R11" s="23"/>
    </row>
    <row r="12" spans="1:18" s="68" customFormat="1" hidden="1" x14ac:dyDescent="0.2">
      <c r="B12" s="69"/>
      <c r="C12" s="68" t="s">
        <v>36</v>
      </c>
      <c r="D12" s="70">
        <f>D11*0.995</f>
        <v>1446.0899165000001</v>
      </c>
      <c r="E12" s="86">
        <f t="shared" ref="E12:O12" si="5">E11*0.995</f>
        <v>2277.4931110000002</v>
      </c>
      <c r="F12" s="86">
        <f t="shared" si="5"/>
        <v>4263.4040589999995</v>
      </c>
      <c r="G12" s="86">
        <f t="shared" si="5"/>
        <v>5768.5984680000001</v>
      </c>
      <c r="H12" s="86">
        <f t="shared" si="5"/>
        <v>6462.0911799999994</v>
      </c>
      <c r="I12" s="86">
        <f t="shared" si="5"/>
        <v>6879.7629269999998</v>
      </c>
      <c r="J12" s="86">
        <f t="shared" si="5"/>
        <v>7128.0017954999994</v>
      </c>
      <c r="K12" s="86">
        <f t="shared" si="5"/>
        <v>6044.4194329999991</v>
      </c>
      <c r="L12" s="86">
        <f t="shared" si="5"/>
        <v>4669.2549074999997</v>
      </c>
      <c r="M12" s="86">
        <f t="shared" si="5"/>
        <v>2982.8067215000001</v>
      </c>
      <c r="N12" s="86">
        <f t="shared" si="5"/>
        <v>1650.9854905</v>
      </c>
      <c r="O12" s="86">
        <f t="shared" si="5"/>
        <v>1174.209251</v>
      </c>
      <c r="P12" s="71"/>
      <c r="Q12" s="72"/>
      <c r="R12" s="72"/>
    </row>
    <row r="13" spans="1:18" s="7" customFormat="1" x14ac:dyDescent="0.2">
      <c r="A13" s="5"/>
      <c r="B13" s="6"/>
      <c r="C13" s="5" t="s">
        <v>16</v>
      </c>
      <c r="D13" s="28">
        <f t="shared" ref="D13:O13" si="6">D10/D11*100-100</f>
        <v>-43.647695022151133</v>
      </c>
      <c r="E13" s="12">
        <f t="shared" si="6"/>
        <v>-7.4243083407508976</v>
      </c>
      <c r="F13" s="12">
        <f t="shared" si="6"/>
        <v>-17.662976545944133</v>
      </c>
      <c r="G13" s="12">
        <f t="shared" si="6"/>
        <v>-20.139180676979649</v>
      </c>
      <c r="H13" s="12">
        <f t="shared" si="6"/>
        <v>-15.159816732886142</v>
      </c>
      <c r="I13" s="12">
        <f t="shared" si="6"/>
        <v>-20.455107856654791</v>
      </c>
      <c r="J13" s="12">
        <f t="shared" si="6"/>
        <v>-6.2092688553953082</v>
      </c>
      <c r="K13" s="12">
        <f t="shared" si="6"/>
        <v>5.0241478171093092</v>
      </c>
      <c r="L13" s="12">
        <f t="shared" si="6"/>
        <v>-17.680977454752494</v>
      </c>
      <c r="M13" s="12">
        <f t="shared" si="6"/>
        <v>-35.852866824780634</v>
      </c>
      <c r="N13" s="12">
        <f t="shared" si="6"/>
        <v>-37.864687127606224</v>
      </c>
      <c r="O13" s="12">
        <f t="shared" si="6"/>
        <v>-38.649776486899782</v>
      </c>
      <c r="P13" s="20">
        <f>Q10/(B9+B8+B7+B6)</f>
        <v>802.28978978978978</v>
      </c>
      <c r="Q13" s="32"/>
      <c r="R13" s="26"/>
    </row>
    <row r="14" spans="1:18" x14ac:dyDescent="0.2">
      <c r="A14" s="7" t="s">
        <v>38</v>
      </c>
      <c r="B14" s="53">
        <v>20</v>
      </c>
      <c r="C14" t="s">
        <v>15</v>
      </c>
      <c r="D14" s="33">
        <v>339</v>
      </c>
      <c r="E14" s="34">
        <v>888</v>
      </c>
      <c r="F14" s="34">
        <v>1440</v>
      </c>
      <c r="G14" s="34">
        <v>1830</v>
      </c>
      <c r="H14" s="34">
        <v>2176</v>
      </c>
      <c r="I14" s="34">
        <v>2170</v>
      </c>
      <c r="J14" s="34">
        <v>2622</v>
      </c>
      <c r="K14" s="34">
        <v>2490</v>
      </c>
      <c r="L14" s="34">
        <v>1487</v>
      </c>
      <c r="M14" s="34">
        <v>754</v>
      </c>
      <c r="N14" s="34">
        <v>418</v>
      </c>
      <c r="O14" s="34">
        <v>292</v>
      </c>
      <c r="P14" s="21"/>
      <c r="Q14" s="23"/>
      <c r="R14" s="23"/>
    </row>
    <row r="15" spans="1:18" x14ac:dyDescent="0.2">
      <c r="A15" s="7" t="s">
        <v>39</v>
      </c>
      <c r="B15" s="1">
        <v>45.2</v>
      </c>
      <c r="C15" t="s">
        <v>15</v>
      </c>
      <c r="D15" s="33">
        <v>836</v>
      </c>
      <c r="E15" s="34">
        <v>2100</v>
      </c>
      <c r="F15" s="34">
        <v>3440</v>
      </c>
      <c r="G15" s="34">
        <v>4430</v>
      </c>
      <c r="H15" s="34">
        <v>5309</v>
      </c>
      <c r="I15" s="34">
        <v>5250</v>
      </c>
      <c r="J15" s="34">
        <v>6132</v>
      </c>
      <c r="K15" s="34">
        <v>5690</v>
      </c>
      <c r="L15" s="34">
        <v>3403</v>
      </c>
      <c r="M15" s="34">
        <v>1730</v>
      </c>
      <c r="N15" s="34">
        <v>977</v>
      </c>
      <c r="O15" s="34">
        <v>708</v>
      </c>
      <c r="P15" s="21"/>
      <c r="Q15" s="23"/>
      <c r="R15" s="23"/>
    </row>
    <row r="16" spans="1:18" x14ac:dyDescent="0.2">
      <c r="A16" s="7" t="s">
        <v>40</v>
      </c>
      <c r="B16" s="1">
        <v>20.8</v>
      </c>
      <c r="C16" t="s">
        <v>15</v>
      </c>
      <c r="D16" s="33">
        <v>385</v>
      </c>
      <c r="E16" s="34">
        <v>972</v>
      </c>
      <c r="F16" s="34">
        <v>1600</v>
      </c>
      <c r="G16" s="34">
        <v>2060</v>
      </c>
      <c r="H16" s="34">
        <v>2433</v>
      </c>
      <c r="I16" s="34">
        <v>2420</v>
      </c>
      <c r="J16" s="34">
        <v>2890</v>
      </c>
      <c r="K16" s="34">
        <v>2770</v>
      </c>
      <c r="L16" s="34">
        <v>1701</v>
      </c>
      <c r="M16" s="34">
        <v>861</v>
      </c>
      <c r="N16" s="34">
        <v>491</v>
      </c>
      <c r="O16" s="34">
        <v>337</v>
      </c>
      <c r="P16" s="21"/>
      <c r="Q16" s="23"/>
      <c r="R16" s="23"/>
    </row>
    <row r="17" spans="1:18" x14ac:dyDescent="0.2">
      <c r="C17" s="16" t="s">
        <v>17</v>
      </c>
      <c r="D17" s="29">
        <f t="shared" ref="D17:O17" si="7">SUM(D14:D16)</f>
        <v>1560</v>
      </c>
      <c r="E17" s="16">
        <f t="shared" si="7"/>
        <v>3960</v>
      </c>
      <c r="F17" s="16">
        <f t="shared" si="7"/>
        <v>6480</v>
      </c>
      <c r="G17" s="16">
        <f t="shared" si="7"/>
        <v>8320</v>
      </c>
      <c r="H17" s="16">
        <f t="shared" si="7"/>
        <v>9918</v>
      </c>
      <c r="I17" s="16">
        <f t="shared" si="7"/>
        <v>9840</v>
      </c>
      <c r="J17" s="16">
        <f t="shared" si="7"/>
        <v>11644</v>
      </c>
      <c r="K17" s="16">
        <f t="shared" si="7"/>
        <v>10950</v>
      </c>
      <c r="L17" s="16">
        <f t="shared" si="7"/>
        <v>6591</v>
      </c>
      <c r="M17" s="16">
        <f t="shared" si="7"/>
        <v>3345</v>
      </c>
      <c r="N17" s="16">
        <f t="shared" si="7"/>
        <v>1886</v>
      </c>
      <c r="O17" s="16">
        <f t="shared" si="7"/>
        <v>1337</v>
      </c>
      <c r="P17" s="21"/>
      <c r="Q17" s="24">
        <f>SUM(D17:O17)</f>
        <v>75831</v>
      </c>
      <c r="R17" s="23"/>
    </row>
    <row r="18" spans="1:18" x14ac:dyDescent="0.2">
      <c r="C18" t="s">
        <v>21</v>
      </c>
      <c r="D18" s="67">
        <v>2414.8649999999998</v>
      </c>
      <c r="E18" s="36">
        <v>3738.2150000000001</v>
      </c>
      <c r="F18" s="36">
        <v>6855.55</v>
      </c>
      <c r="G18" s="36">
        <v>9124.15</v>
      </c>
      <c r="H18" s="36">
        <v>10119.15</v>
      </c>
      <c r="I18" s="36">
        <v>10726.1</v>
      </c>
      <c r="J18" s="36">
        <v>11127.084999999999</v>
      </c>
      <c r="K18" s="36">
        <v>9505.2350000000006</v>
      </c>
      <c r="L18" s="36">
        <v>7467.4750000000004</v>
      </c>
      <c r="M18" s="36">
        <v>4865.55</v>
      </c>
      <c r="N18" s="36">
        <v>2718.34</v>
      </c>
      <c r="O18" s="36">
        <v>1963.135</v>
      </c>
      <c r="P18" s="21"/>
      <c r="Q18" s="67">
        <f>SUM(D18:P18)</f>
        <v>80624.849999999991</v>
      </c>
      <c r="R18" s="23"/>
    </row>
    <row r="19" spans="1:18" s="68" customFormat="1" hidden="1" x14ac:dyDescent="0.2">
      <c r="B19" s="69"/>
      <c r="C19" s="68" t="s">
        <v>36</v>
      </c>
      <c r="D19" s="70">
        <f>D18*0.995</f>
        <v>2402.7906749999997</v>
      </c>
      <c r="E19" s="86">
        <f t="shared" ref="E19:O19" si="8">E18*0.995</f>
        <v>3719.523925</v>
      </c>
      <c r="F19" s="86">
        <f t="shared" si="8"/>
        <v>6821.27225</v>
      </c>
      <c r="G19" s="86">
        <f t="shared" si="8"/>
        <v>9078.5292499999996</v>
      </c>
      <c r="H19" s="86">
        <f t="shared" si="8"/>
        <v>10068.554249999999</v>
      </c>
      <c r="I19" s="86">
        <f t="shared" si="8"/>
        <v>10672.469500000001</v>
      </c>
      <c r="J19" s="86">
        <f t="shared" si="8"/>
        <v>11071.449574999999</v>
      </c>
      <c r="K19" s="86">
        <f t="shared" si="8"/>
        <v>9457.7088249999997</v>
      </c>
      <c r="L19" s="86">
        <f t="shared" si="8"/>
        <v>7430.1376250000003</v>
      </c>
      <c r="M19" s="86">
        <f t="shared" si="8"/>
        <v>4841.2222499999998</v>
      </c>
      <c r="N19" s="86">
        <f t="shared" si="8"/>
        <v>2704.7483000000002</v>
      </c>
      <c r="O19" s="86">
        <f t="shared" si="8"/>
        <v>1953.3193249999999</v>
      </c>
      <c r="P19" s="71"/>
      <c r="Q19" s="72"/>
      <c r="R19" s="72"/>
    </row>
    <row r="20" spans="1:18" s="7" customFormat="1" x14ac:dyDescent="0.2">
      <c r="A20" s="5"/>
      <c r="B20" s="6"/>
      <c r="C20" s="5" t="s">
        <v>16</v>
      </c>
      <c r="D20" s="28">
        <f t="shared" ref="D20:O20" si="9">D17/D18*100-100</f>
        <v>-35.400115534408755</v>
      </c>
      <c r="E20" s="12">
        <f t="shared" si="9"/>
        <v>5.9329118309139517</v>
      </c>
      <c r="F20" s="12">
        <f t="shared" si="9"/>
        <v>-5.4780433371501971</v>
      </c>
      <c r="G20" s="12">
        <f t="shared" si="9"/>
        <v>-8.8134237161817737</v>
      </c>
      <c r="H20" s="12">
        <f t="shared" si="9"/>
        <v>-1.9878151821052086</v>
      </c>
      <c r="I20" s="12">
        <f t="shared" si="9"/>
        <v>-8.2611573638135098</v>
      </c>
      <c r="J20" s="12">
        <f t="shared" si="9"/>
        <v>4.6455563159623807</v>
      </c>
      <c r="K20" s="12">
        <f t="shared" si="9"/>
        <v>15.199676809673818</v>
      </c>
      <c r="L20" s="12">
        <f t="shared" si="9"/>
        <v>-11.737233803929712</v>
      </c>
      <c r="M20" s="12">
        <f t="shared" si="9"/>
        <v>-31.251348768381789</v>
      </c>
      <c r="N20" s="12">
        <f t="shared" si="9"/>
        <v>-30.619422147339918</v>
      </c>
      <c r="O20" s="12">
        <f t="shared" si="9"/>
        <v>-31.894648101123963</v>
      </c>
      <c r="P20" s="20">
        <f>Q17/(B16+B15+B14)</f>
        <v>881.75581395348843</v>
      </c>
      <c r="Q20" s="32"/>
      <c r="R20" s="26"/>
    </row>
    <row r="21" spans="1:18" x14ac:dyDescent="0.2">
      <c r="A21" s="7" t="s">
        <v>42</v>
      </c>
      <c r="B21" s="53">
        <v>36.799999999999997</v>
      </c>
      <c r="C21" t="s">
        <v>15</v>
      </c>
      <c r="D21" s="33">
        <v>683</v>
      </c>
      <c r="E21" s="34">
        <v>1740</v>
      </c>
      <c r="F21" s="34">
        <v>2850</v>
      </c>
      <c r="G21" s="34">
        <v>3630</v>
      </c>
      <c r="H21" s="34">
        <v>4320</v>
      </c>
      <c r="I21" s="34">
        <v>4290</v>
      </c>
      <c r="J21" s="34">
        <v>5118</v>
      </c>
      <c r="K21" s="34">
        <v>4970</v>
      </c>
      <c r="L21" s="34">
        <v>3086</v>
      </c>
      <c r="M21" s="34">
        <v>1580</v>
      </c>
      <c r="N21" s="34">
        <v>911</v>
      </c>
      <c r="O21" s="34">
        <v>633</v>
      </c>
      <c r="P21" s="21"/>
      <c r="Q21" s="23"/>
      <c r="R21" s="23"/>
    </row>
    <row r="22" spans="1:18" x14ac:dyDescent="0.2">
      <c r="A22" s="7" t="s">
        <v>43</v>
      </c>
      <c r="B22" s="53">
        <v>36.799999999999997</v>
      </c>
      <c r="C22" t="s">
        <v>15</v>
      </c>
      <c r="D22" s="33">
        <v>685</v>
      </c>
      <c r="E22" s="34">
        <v>1710</v>
      </c>
      <c r="F22" s="34">
        <v>2810</v>
      </c>
      <c r="G22" s="34">
        <v>3590</v>
      </c>
      <c r="H22" s="34">
        <v>4268</v>
      </c>
      <c r="I22" s="34">
        <v>4180</v>
      </c>
      <c r="J22" s="34">
        <v>4955</v>
      </c>
      <c r="K22" s="34">
        <v>4930</v>
      </c>
      <c r="L22" s="34">
        <v>3049</v>
      </c>
      <c r="M22" s="34">
        <v>1560</v>
      </c>
      <c r="N22" s="34">
        <v>898</v>
      </c>
      <c r="O22" s="34">
        <v>629</v>
      </c>
      <c r="P22" s="21"/>
      <c r="Q22" s="23"/>
      <c r="R22" s="23"/>
    </row>
    <row r="23" spans="1:18" x14ac:dyDescent="0.2">
      <c r="A23" s="7" t="s">
        <v>44</v>
      </c>
      <c r="B23" s="1">
        <v>21.6</v>
      </c>
      <c r="C23" t="s">
        <v>15</v>
      </c>
      <c r="D23" s="33">
        <v>403</v>
      </c>
      <c r="E23" s="34">
        <v>991</v>
      </c>
      <c r="F23" s="34">
        <v>1620</v>
      </c>
      <c r="G23" s="34">
        <v>2070</v>
      </c>
      <c r="H23" s="34">
        <v>2457</v>
      </c>
      <c r="I23" s="34">
        <v>2450</v>
      </c>
      <c r="J23" s="34">
        <v>2949</v>
      </c>
      <c r="K23" s="34">
        <v>2830</v>
      </c>
      <c r="L23" s="34">
        <v>1742</v>
      </c>
      <c r="M23" s="34">
        <v>996</v>
      </c>
      <c r="N23" s="34">
        <v>517</v>
      </c>
      <c r="O23" s="34">
        <v>358</v>
      </c>
      <c r="P23" s="21"/>
      <c r="Q23" s="23"/>
      <c r="R23" s="23"/>
    </row>
    <row r="24" spans="1:18" x14ac:dyDescent="0.2">
      <c r="A24" s="7" t="s">
        <v>45</v>
      </c>
      <c r="B24" s="1">
        <v>21.6</v>
      </c>
      <c r="C24" t="s">
        <v>15</v>
      </c>
      <c r="D24" s="33">
        <v>424</v>
      </c>
      <c r="E24" s="34">
        <v>1030</v>
      </c>
      <c r="F24" s="34">
        <v>1690</v>
      </c>
      <c r="G24" s="34">
        <v>2150</v>
      </c>
      <c r="H24" s="34">
        <v>2544</v>
      </c>
      <c r="I24" s="34">
        <v>2480</v>
      </c>
      <c r="J24" s="34">
        <v>2922</v>
      </c>
      <c r="K24" s="34">
        <v>2840</v>
      </c>
      <c r="L24" s="34">
        <v>1777</v>
      </c>
      <c r="M24" s="34">
        <v>935</v>
      </c>
      <c r="N24" s="34">
        <v>548</v>
      </c>
      <c r="O24" s="34">
        <v>384</v>
      </c>
      <c r="P24" s="21"/>
      <c r="Q24" s="23"/>
      <c r="R24" s="23"/>
    </row>
    <row r="25" spans="1:18" x14ac:dyDescent="0.2">
      <c r="C25" s="16" t="s">
        <v>17</v>
      </c>
      <c r="D25" s="29">
        <f t="shared" ref="D25:H25" si="10">SUM(D21:D24)</f>
        <v>2195</v>
      </c>
      <c r="E25" s="16">
        <f t="shared" si="10"/>
        <v>5471</v>
      </c>
      <c r="F25" s="16">
        <f t="shared" si="10"/>
        <v>8970</v>
      </c>
      <c r="G25" s="16">
        <f t="shared" si="10"/>
        <v>11440</v>
      </c>
      <c r="H25" s="16">
        <f t="shared" si="10"/>
        <v>13589</v>
      </c>
      <c r="I25" s="16">
        <f>SUM(I21:I24)</f>
        <v>13400</v>
      </c>
      <c r="J25" s="16">
        <f t="shared" ref="J25:O25" si="11">SUM(J21:J24)</f>
        <v>15944</v>
      </c>
      <c r="K25" s="16">
        <f t="shared" si="11"/>
        <v>15570</v>
      </c>
      <c r="L25" s="16">
        <f t="shared" si="11"/>
        <v>9654</v>
      </c>
      <c r="M25" s="16">
        <f t="shared" si="11"/>
        <v>5071</v>
      </c>
      <c r="N25" s="16">
        <f t="shared" si="11"/>
        <v>2874</v>
      </c>
      <c r="O25" s="16">
        <f t="shared" si="11"/>
        <v>2004</v>
      </c>
      <c r="P25" s="21"/>
      <c r="Q25" s="24">
        <f>SUM(D25:O25)</f>
        <v>106182</v>
      </c>
      <c r="R25" s="23"/>
    </row>
    <row r="26" spans="1:18" x14ac:dyDescent="0.2">
      <c r="C26" t="s">
        <v>21</v>
      </c>
      <c r="D26" s="67">
        <v>3402.9</v>
      </c>
      <c r="E26" s="36">
        <v>5203.8500000000004</v>
      </c>
      <c r="F26" s="36">
        <v>9422.65</v>
      </c>
      <c r="G26" s="36">
        <v>12407.65</v>
      </c>
      <c r="H26" s="36">
        <v>13641.45</v>
      </c>
      <c r="I26" s="36">
        <v>14447.4</v>
      </c>
      <c r="J26" s="36">
        <v>14994.65</v>
      </c>
      <c r="K26" s="36">
        <v>12905.15</v>
      </c>
      <c r="L26" s="36">
        <v>10238.549999999999</v>
      </c>
      <c r="M26" s="36">
        <v>6766</v>
      </c>
      <c r="N26" s="36">
        <v>3840.7</v>
      </c>
      <c r="O26" s="36">
        <v>2815.85</v>
      </c>
      <c r="P26" s="21"/>
      <c r="Q26" s="67">
        <f>SUM(D26:P26)</f>
        <v>110086.8</v>
      </c>
      <c r="R26" s="23"/>
    </row>
    <row r="27" spans="1:18" s="68" customFormat="1" hidden="1" x14ac:dyDescent="0.2">
      <c r="B27" s="69"/>
      <c r="C27" s="68" t="s">
        <v>36</v>
      </c>
      <c r="D27" s="70">
        <f>D26*0.995</f>
        <v>3385.8854999999999</v>
      </c>
      <c r="E27" s="86">
        <f t="shared" ref="E27:O27" si="12">E26*0.995</f>
        <v>5177.8307500000001</v>
      </c>
      <c r="F27" s="86">
        <f t="shared" si="12"/>
        <v>9375.5367499999993</v>
      </c>
      <c r="G27" s="86">
        <f t="shared" si="12"/>
        <v>12345.61175</v>
      </c>
      <c r="H27" s="86">
        <f t="shared" si="12"/>
        <v>13573.242750000001</v>
      </c>
      <c r="I27" s="86">
        <f t="shared" si="12"/>
        <v>14375.163</v>
      </c>
      <c r="J27" s="86">
        <f t="shared" si="12"/>
        <v>14919.676749999999</v>
      </c>
      <c r="K27" s="86">
        <f t="shared" si="12"/>
        <v>12840.624249999999</v>
      </c>
      <c r="L27" s="86">
        <f t="shared" si="12"/>
        <v>10187.357249999999</v>
      </c>
      <c r="M27" s="86">
        <f t="shared" si="12"/>
        <v>6732.17</v>
      </c>
      <c r="N27" s="86">
        <f t="shared" si="12"/>
        <v>3821.4964999999997</v>
      </c>
      <c r="O27" s="86">
        <f t="shared" si="12"/>
        <v>2801.7707499999997</v>
      </c>
      <c r="P27" s="71"/>
      <c r="Q27" s="72"/>
      <c r="R27" s="72"/>
    </row>
    <row r="28" spans="1:18" s="7" customFormat="1" x14ac:dyDescent="0.2">
      <c r="A28" s="5"/>
      <c r="B28" s="6"/>
      <c r="C28" s="5" t="s">
        <v>16</v>
      </c>
      <c r="D28" s="28">
        <f t="shared" ref="D28:O28" si="13">D25/D26*100-100</f>
        <v>-35.496194422404429</v>
      </c>
      <c r="E28" s="12">
        <f t="shared" si="13"/>
        <v>5.1336990881750921</v>
      </c>
      <c r="F28" s="12">
        <f t="shared" si="13"/>
        <v>-4.8038502968909995</v>
      </c>
      <c r="G28" s="12">
        <f t="shared" si="13"/>
        <v>-7.7988176649083414</v>
      </c>
      <c r="H28" s="12">
        <f t="shared" si="13"/>
        <v>-0.38448991859370096</v>
      </c>
      <c r="I28" s="12">
        <f t="shared" si="13"/>
        <v>-7.2497473593864612</v>
      </c>
      <c r="J28" s="12">
        <f t="shared" si="13"/>
        <v>6.331258148739721</v>
      </c>
      <c r="K28" s="12">
        <f t="shared" si="13"/>
        <v>20.649508142098313</v>
      </c>
      <c r="L28" s="12">
        <f t="shared" si="13"/>
        <v>-5.7093045401936706</v>
      </c>
      <c r="M28" s="12">
        <f t="shared" si="13"/>
        <v>-25.051729234407333</v>
      </c>
      <c r="N28" s="12">
        <f t="shared" si="13"/>
        <v>-25.169890905303717</v>
      </c>
      <c r="O28" s="12">
        <f t="shared" si="13"/>
        <v>-28.831436333611521</v>
      </c>
      <c r="P28" s="20">
        <f>Q25/(B24+B23+B22+B21)</f>
        <v>909.09246575342468</v>
      </c>
      <c r="Q28" s="32"/>
      <c r="R28" s="26"/>
    </row>
    <row r="29" spans="1:18" x14ac:dyDescent="0.2">
      <c r="A29" s="7" t="s">
        <v>47</v>
      </c>
      <c r="B29" s="53">
        <v>32.799999999999997</v>
      </c>
      <c r="C29" t="s">
        <v>15</v>
      </c>
      <c r="D29" s="33">
        <v>651</v>
      </c>
      <c r="E29" s="34">
        <v>1570</v>
      </c>
      <c r="F29" s="34">
        <v>2530</v>
      </c>
      <c r="G29" s="34">
        <v>3290</v>
      </c>
      <c r="H29" s="34">
        <v>3928</v>
      </c>
      <c r="I29" s="34">
        <v>3880</v>
      </c>
      <c r="J29" s="34">
        <v>4676</v>
      </c>
      <c r="K29" s="34">
        <v>4500</v>
      </c>
      <c r="L29" s="34">
        <v>2781</v>
      </c>
      <c r="M29" s="34">
        <v>1410</v>
      </c>
      <c r="N29" s="34">
        <v>820</v>
      </c>
      <c r="O29" s="34">
        <v>587</v>
      </c>
      <c r="P29" s="21"/>
      <c r="Q29" s="23"/>
      <c r="R29" s="23"/>
    </row>
    <row r="30" spans="1:18" x14ac:dyDescent="0.2">
      <c r="A30" s="7" t="s">
        <v>46</v>
      </c>
      <c r="B30" s="1">
        <v>40.4</v>
      </c>
      <c r="C30" t="s">
        <v>15</v>
      </c>
      <c r="D30" s="33">
        <v>790</v>
      </c>
      <c r="E30" s="34">
        <v>1890</v>
      </c>
      <c r="F30" s="34">
        <v>3130</v>
      </c>
      <c r="G30" s="34">
        <v>4020</v>
      </c>
      <c r="H30" s="34">
        <v>4645</v>
      </c>
      <c r="I30" s="34">
        <v>4340</v>
      </c>
      <c r="J30" s="34">
        <v>4846</v>
      </c>
      <c r="K30" s="34">
        <v>4450</v>
      </c>
      <c r="L30" s="34">
        <v>3139</v>
      </c>
      <c r="M30" s="34">
        <v>1710</v>
      </c>
      <c r="N30" s="34">
        <v>988</v>
      </c>
      <c r="O30" s="34">
        <v>703</v>
      </c>
      <c r="P30" s="21"/>
      <c r="Q30" s="23"/>
      <c r="R30" s="23"/>
    </row>
    <row r="31" spans="1:18" x14ac:dyDescent="0.2">
      <c r="A31" s="7" t="s">
        <v>48</v>
      </c>
      <c r="B31" s="1">
        <v>22.8</v>
      </c>
      <c r="C31" t="s">
        <v>15</v>
      </c>
      <c r="D31" s="33">
        <v>430</v>
      </c>
      <c r="E31" s="34">
        <v>1060</v>
      </c>
      <c r="F31" s="34">
        <v>1770</v>
      </c>
      <c r="G31" s="34">
        <v>2270</v>
      </c>
      <c r="H31" s="34">
        <v>2713</v>
      </c>
      <c r="I31" s="34">
        <v>2660</v>
      </c>
      <c r="J31" s="34">
        <v>3168</v>
      </c>
      <c r="K31" s="34">
        <v>3030</v>
      </c>
      <c r="L31" s="34">
        <v>1895</v>
      </c>
      <c r="M31" s="34">
        <v>975</v>
      </c>
      <c r="N31" s="34">
        <v>561</v>
      </c>
      <c r="O31" s="34">
        <v>393</v>
      </c>
      <c r="P31" s="21"/>
      <c r="Q31" s="23"/>
      <c r="R31" s="23"/>
    </row>
    <row r="32" spans="1:18" x14ac:dyDescent="0.2">
      <c r="C32" s="16" t="s">
        <v>17</v>
      </c>
      <c r="D32" s="29">
        <f t="shared" ref="D32:O32" si="14">SUM(D29:D31)</f>
        <v>1871</v>
      </c>
      <c r="E32" s="16">
        <f t="shared" si="14"/>
        <v>4520</v>
      </c>
      <c r="F32" s="16">
        <f t="shared" si="14"/>
        <v>7430</v>
      </c>
      <c r="G32" s="16">
        <f t="shared" si="14"/>
        <v>9580</v>
      </c>
      <c r="H32" s="16">
        <f t="shared" si="14"/>
        <v>11286</v>
      </c>
      <c r="I32" s="16">
        <f t="shared" si="14"/>
        <v>10880</v>
      </c>
      <c r="J32" s="16">
        <f t="shared" si="14"/>
        <v>12690</v>
      </c>
      <c r="K32" s="16">
        <f t="shared" si="14"/>
        <v>11980</v>
      </c>
      <c r="L32" s="16">
        <f t="shared" si="14"/>
        <v>7815</v>
      </c>
      <c r="M32" s="16">
        <f t="shared" si="14"/>
        <v>4095</v>
      </c>
      <c r="N32" s="16">
        <f t="shared" si="14"/>
        <v>2369</v>
      </c>
      <c r="O32" s="16">
        <f t="shared" si="14"/>
        <v>1683</v>
      </c>
      <c r="P32" s="21"/>
      <c r="Q32" s="24">
        <f>SUM(D32:O32)</f>
        <v>86199</v>
      </c>
      <c r="R32" s="23"/>
    </row>
    <row r="33" spans="1:18" x14ac:dyDescent="0.2">
      <c r="C33" t="s">
        <v>21</v>
      </c>
      <c r="D33" s="67">
        <v>2756.15</v>
      </c>
      <c r="E33" s="36">
        <v>4179</v>
      </c>
      <c r="F33" s="36">
        <v>7571.95</v>
      </c>
      <c r="G33" s="36">
        <v>9969.9</v>
      </c>
      <c r="H33" s="36">
        <v>10985.795</v>
      </c>
      <c r="I33" s="36">
        <v>11593.74</v>
      </c>
      <c r="J33" s="36">
        <v>12070.344999999999</v>
      </c>
      <c r="K33" s="36">
        <v>10351.98</v>
      </c>
      <c r="L33" s="36">
        <v>8213.7250000000004</v>
      </c>
      <c r="M33" s="36">
        <v>5415.7849999999999</v>
      </c>
      <c r="N33" s="36">
        <v>3072.56</v>
      </c>
      <c r="O33" s="36">
        <v>2269.5949999999998</v>
      </c>
      <c r="P33" s="21"/>
      <c r="Q33" s="67">
        <f>SUM(D33:P33)</f>
        <v>88450.525000000009</v>
      </c>
      <c r="R33" s="23"/>
    </row>
    <row r="34" spans="1:18" s="68" customFormat="1" hidden="1" x14ac:dyDescent="0.2">
      <c r="B34" s="69"/>
      <c r="C34" s="68" t="s">
        <v>36</v>
      </c>
      <c r="D34" s="70">
        <f>D33*0.995</f>
        <v>2742.3692500000002</v>
      </c>
      <c r="E34" s="86">
        <f t="shared" ref="E34:O34" si="15">E33*0.995</f>
        <v>4158.1049999999996</v>
      </c>
      <c r="F34" s="86">
        <f t="shared" si="15"/>
        <v>7534.0902500000002</v>
      </c>
      <c r="G34" s="86">
        <f t="shared" si="15"/>
        <v>9920.0504999999994</v>
      </c>
      <c r="H34" s="86">
        <f t="shared" si="15"/>
        <v>10930.866024999999</v>
      </c>
      <c r="I34" s="86">
        <f t="shared" si="15"/>
        <v>11535.7713</v>
      </c>
      <c r="J34" s="86">
        <f t="shared" si="15"/>
        <v>12009.993274999999</v>
      </c>
      <c r="K34" s="86">
        <f t="shared" si="15"/>
        <v>10300.220099999999</v>
      </c>
      <c r="L34" s="86">
        <f t="shared" si="15"/>
        <v>8172.6563750000005</v>
      </c>
      <c r="M34" s="86">
        <f t="shared" si="15"/>
        <v>5388.7060750000001</v>
      </c>
      <c r="N34" s="86">
        <f t="shared" si="15"/>
        <v>3057.1972000000001</v>
      </c>
      <c r="O34" s="86">
        <f t="shared" si="15"/>
        <v>2258.2470249999997</v>
      </c>
      <c r="P34" s="71"/>
      <c r="Q34" s="72"/>
      <c r="R34" s="72"/>
    </row>
    <row r="35" spans="1:18" s="7" customFormat="1" x14ac:dyDescent="0.2">
      <c r="A35" s="5"/>
      <c r="B35" s="6"/>
      <c r="C35" s="5" t="s">
        <v>16</v>
      </c>
      <c r="D35" s="28">
        <f t="shared" ref="D35:O35" si="16">D32/D33*100-100</f>
        <v>-32.115450900712943</v>
      </c>
      <c r="E35" s="12">
        <f t="shared" si="16"/>
        <v>8.1598468533141926</v>
      </c>
      <c r="F35" s="12">
        <f t="shared" si="16"/>
        <v>-1.8746822152813962</v>
      </c>
      <c r="G35" s="12">
        <f t="shared" si="16"/>
        <v>-3.9107714219801579</v>
      </c>
      <c r="H35" s="12">
        <f t="shared" si="16"/>
        <v>2.732665228142352</v>
      </c>
      <c r="I35" s="12">
        <f t="shared" si="16"/>
        <v>-6.1562532884125432</v>
      </c>
      <c r="J35" s="12">
        <f t="shared" si="16"/>
        <v>5.1336975040895823</v>
      </c>
      <c r="K35" s="12">
        <f t="shared" si="16"/>
        <v>15.726653258603676</v>
      </c>
      <c r="L35" s="12">
        <f t="shared" si="16"/>
        <v>-4.8543748421087827</v>
      </c>
      <c r="M35" s="12">
        <f t="shared" si="16"/>
        <v>-24.387692642894791</v>
      </c>
      <c r="N35" s="12">
        <f t="shared" si="16"/>
        <v>-22.898169604499174</v>
      </c>
      <c r="O35" s="12">
        <f t="shared" si="16"/>
        <v>-25.845800682500624</v>
      </c>
      <c r="P35" s="20">
        <f>Q32/(B31+B30+B29)</f>
        <v>897.90625</v>
      </c>
      <c r="Q35" s="32"/>
      <c r="R35" s="26"/>
    </row>
    <row r="36" spans="1:18" x14ac:dyDescent="0.2">
      <c r="A36" s="7" t="s">
        <v>52</v>
      </c>
      <c r="B36" s="53">
        <v>43.05</v>
      </c>
      <c r="C36" t="s">
        <v>15</v>
      </c>
      <c r="D36" s="33">
        <v>759</v>
      </c>
      <c r="E36" s="34">
        <v>1870</v>
      </c>
      <c r="F36" s="34">
        <v>3350</v>
      </c>
      <c r="G36" s="34">
        <v>4600</v>
      </c>
      <c r="H36" s="34">
        <v>5599</v>
      </c>
      <c r="I36" s="34">
        <v>5520</v>
      </c>
      <c r="J36" s="34">
        <v>6582</v>
      </c>
      <c r="K36" s="34">
        <v>6210</v>
      </c>
      <c r="L36" s="34">
        <v>3732</v>
      </c>
      <c r="M36" s="34">
        <v>1880</v>
      </c>
      <c r="N36" s="34">
        <v>1010</v>
      </c>
      <c r="O36" s="34">
        <v>703</v>
      </c>
      <c r="P36" s="21"/>
      <c r="Q36" s="23"/>
      <c r="R36" s="23"/>
    </row>
    <row r="37" spans="1:18" x14ac:dyDescent="0.2">
      <c r="A37" s="7" t="s">
        <v>53</v>
      </c>
      <c r="B37" s="1">
        <v>23.37</v>
      </c>
      <c r="C37" t="s">
        <v>15</v>
      </c>
      <c r="D37" s="33">
        <v>438</v>
      </c>
      <c r="E37" s="34">
        <v>1070</v>
      </c>
      <c r="F37" s="34">
        <v>1850</v>
      </c>
      <c r="G37" s="34">
        <v>2480</v>
      </c>
      <c r="H37" s="34">
        <v>2983</v>
      </c>
      <c r="I37" s="34">
        <v>2930</v>
      </c>
      <c r="J37" s="34">
        <v>3524</v>
      </c>
      <c r="K37" s="34">
        <v>3330</v>
      </c>
      <c r="L37" s="34">
        <v>2020</v>
      </c>
      <c r="M37" s="34">
        <v>1030</v>
      </c>
      <c r="N37" s="34">
        <v>576</v>
      </c>
      <c r="O37" s="34">
        <v>398</v>
      </c>
      <c r="P37" s="21"/>
      <c r="Q37" s="23"/>
      <c r="R37" s="23"/>
    </row>
    <row r="38" spans="1:18" x14ac:dyDescent="0.2">
      <c r="C38" s="16" t="s">
        <v>17</v>
      </c>
      <c r="D38" s="29">
        <f t="shared" ref="D38:O38" si="17">SUM(D36:D37)</f>
        <v>1197</v>
      </c>
      <c r="E38" s="16">
        <f t="shared" si="17"/>
        <v>2940</v>
      </c>
      <c r="F38" s="16">
        <f t="shared" si="17"/>
        <v>5200</v>
      </c>
      <c r="G38" s="16">
        <f t="shared" si="17"/>
        <v>7080</v>
      </c>
      <c r="H38" s="16">
        <f t="shared" si="17"/>
        <v>8582</v>
      </c>
      <c r="I38" s="16">
        <f t="shared" si="17"/>
        <v>8450</v>
      </c>
      <c r="J38" s="16">
        <f t="shared" si="17"/>
        <v>10106</v>
      </c>
      <c r="K38" s="16">
        <f>SUM(K36:K37)</f>
        <v>9540</v>
      </c>
      <c r="L38" s="16">
        <f t="shared" si="17"/>
        <v>5752</v>
      </c>
      <c r="M38" s="16">
        <f t="shared" si="17"/>
        <v>2910</v>
      </c>
      <c r="N38" s="16">
        <f t="shared" si="17"/>
        <v>1586</v>
      </c>
      <c r="O38" s="16">
        <f t="shared" si="17"/>
        <v>1101</v>
      </c>
      <c r="P38" s="21"/>
      <c r="Q38" s="24">
        <f>SUM(D38:O38)</f>
        <v>64444</v>
      </c>
      <c r="R38" s="23"/>
    </row>
    <row r="39" spans="1:18" x14ac:dyDescent="0.2">
      <c r="C39" t="s">
        <v>21</v>
      </c>
      <c r="D39" s="67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68" customFormat="1" hidden="1" x14ac:dyDescent="0.2">
      <c r="B40" s="69"/>
      <c r="C40" s="68" t="s">
        <v>36</v>
      </c>
      <c r="D40" s="70">
        <f>D39*0.995</f>
        <v>1753.19</v>
      </c>
      <c r="E40" s="70">
        <f t="shared" ref="E40:O40" si="18">E39*0.995</f>
        <v>2759.1349999999998</v>
      </c>
      <c r="F40" s="70">
        <f t="shared" si="18"/>
        <v>5135.1949999999997</v>
      </c>
      <c r="G40" s="70">
        <f t="shared" si="18"/>
        <v>6969.9750000000004</v>
      </c>
      <c r="H40" s="70">
        <f t="shared" si="18"/>
        <v>7742.0950000000003</v>
      </c>
      <c r="I40" s="70">
        <f t="shared" si="18"/>
        <v>8299.2950000000001</v>
      </c>
      <c r="J40" s="70">
        <f t="shared" si="18"/>
        <v>8510.2350000000006</v>
      </c>
      <c r="K40" s="70">
        <f t="shared" si="18"/>
        <v>7259.5199999999995</v>
      </c>
      <c r="L40" s="70">
        <f t="shared" si="18"/>
        <v>5667.5199999999995</v>
      </c>
      <c r="M40" s="70">
        <f t="shared" si="18"/>
        <v>3683.49</v>
      </c>
      <c r="N40" s="70">
        <f t="shared" si="18"/>
        <v>2042.7349999999999</v>
      </c>
      <c r="O40" s="70">
        <f t="shared" si="18"/>
        <v>1462.65</v>
      </c>
      <c r="P40" s="71"/>
      <c r="Q40" s="72"/>
      <c r="R40" s="72"/>
    </row>
    <row r="41" spans="1:18" s="7" customFormat="1" x14ac:dyDescent="0.2">
      <c r="A41" s="5"/>
      <c r="B41" s="6"/>
      <c r="C41" s="5" t="s">
        <v>16</v>
      </c>
      <c r="D41" s="28">
        <f t="shared" ref="D41:O41" si="19">D38/D39*100-100</f>
        <v>-32.065834279228142</v>
      </c>
      <c r="E41" s="12">
        <f t="shared" si="19"/>
        <v>6.0223584565452626</v>
      </c>
      <c r="F41" s="12">
        <f t="shared" si="19"/>
        <v>0.7556675062972289</v>
      </c>
      <c r="G41" s="12">
        <f t="shared" si="19"/>
        <v>1.070663811563179</v>
      </c>
      <c r="H41" s="12">
        <f t="shared" si="19"/>
        <v>10.294306644390176</v>
      </c>
      <c r="I41" s="12">
        <f t="shared" si="19"/>
        <v>1.3067977460736131</v>
      </c>
      <c r="J41" s="12">
        <f t="shared" si="19"/>
        <v>18.157371682450602</v>
      </c>
      <c r="K41" s="12">
        <f t="shared" si="19"/>
        <v>30.756578947368439</v>
      </c>
      <c r="L41" s="12">
        <f t="shared" si="19"/>
        <v>0.98314606741574551</v>
      </c>
      <c r="M41" s="12">
        <f t="shared" si="19"/>
        <v>-21.393841166936795</v>
      </c>
      <c r="N41" s="12">
        <f t="shared" si="19"/>
        <v>-22.747199220652703</v>
      </c>
      <c r="O41" s="12">
        <f t="shared" si="19"/>
        <v>-25.102040816326536</v>
      </c>
      <c r="P41" s="20">
        <f>Q38/(B37+B36)</f>
        <v>970.24992472146937</v>
      </c>
      <c r="Q41" s="32"/>
      <c r="R41" s="26"/>
    </row>
    <row r="42" spans="1:18" s="7" customFormat="1" x14ac:dyDescent="0.2">
      <c r="B42" s="10"/>
      <c r="D42" s="24"/>
      <c r="P42" s="22"/>
      <c r="Q42" s="24"/>
      <c r="R42" s="24"/>
    </row>
    <row r="43" spans="1:18" s="9" customFormat="1" ht="16" x14ac:dyDescent="0.2">
      <c r="A43" s="44" t="s">
        <v>41</v>
      </c>
      <c r="B43" s="45">
        <f>SUM(B2:B37)</f>
        <v>463.6400000000001</v>
      </c>
      <c r="C43" s="46" t="s">
        <v>25</v>
      </c>
      <c r="D43" s="44">
        <f t="shared" ref="D43:J43" si="20">D10+D2+D17+D25+D32+D38</f>
        <v>8385</v>
      </c>
      <c r="E43" s="44">
        <f t="shared" si="20"/>
        <v>20880</v>
      </c>
      <c r="F43" s="44">
        <f t="shared" si="20"/>
        <v>34648</v>
      </c>
      <c r="G43" s="44">
        <f t="shared" si="20"/>
        <v>44990</v>
      </c>
      <c r="H43" s="44">
        <f t="shared" si="20"/>
        <v>53540</v>
      </c>
      <c r="I43" s="44">
        <f t="shared" si="20"/>
        <v>52700</v>
      </c>
      <c r="J43" s="44">
        <f t="shared" si="20"/>
        <v>62788</v>
      </c>
      <c r="K43" s="44">
        <f t="shared" ref="K43:O43" si="21">K10+K2+K17+K25+K32+K38</f>
        <v>59810</v>
      </c>
      <c r="L43" s="44">
        <f>L10+L2+L17+L25+L32+L38</f>
        <v>36955</v>
      </c>
      <c r="M43" s="44">
        <f t="shared" si="21"/>
        <v>19004</v>
      </c>
      <c r="N43" s="44">
        <f t="shared" si="21"/>
        <v>10671</v>
      </c>
      <c r="O43" s="44">
        <f t="shared" si="21"/>
        <v>7514</v>
      </c>
      <c r="P43" s="47">
        <f>Q43/B43</f>
        <v>888.37244413769281</v>
      </c>
      <c r="Q43" s="64">
        <f>Q2+Q10+Q17+Q25+Q32+Q38</f>
        <v>411885</v>
      </c>
      <c r="R43" s="48"/>
    </row>
    <row r="44" spans="1:18" ht="16" x14ac:dyDescent="0.2">
      <c r="A44" s="23"/>
      <c r="C44" s="49" t="s">
        <v>26</v>
      </c>
      <c r="D44" s="74">
        <f t="shared" ref="D44:L44" si="22">D11+D3+D18+D26+D33+D39</f>
        <v>13112.935125</v>
      </c>
      <c r="E44" s="74">
        <f t="shared" si="22"/>
        <v>20233.344575000003</v>
      </c>
      <c r="F44" s="74">
        <f>F11+F3+F18+F26+F33+F39</f>
        <v>37075.893649999998</v>
      </c>
      <c r="G44" s="74">
        <f t="shared" si="22"/>
        <v>49364.304175000005</v>
      </c>
      <c r="H44" s="74">
        <f t="shared" si="22"/>
        <v>54639.360849999997</v>
      </c>
      <c r="I44" s="74">
        <f t="shared" si="22"/>
        <v>57993.415374999997</v>
      </c>
      <c r="J44" s="74">
        <f t="shared" si="22"/>
        <v>60105.467375</v>
      </c>
      <c r="K44" s="74">
        <f t="shared" si="22"/>
        <v>51417.911850000004</v>
      </c>
      <c r="L44" s="74">
        <f t="shared" si="22"/>
        <v>40432.912649999998</v>
      </c>
      <c r="M44" s="74">
        <f t="shared" ref="M44:O44" si="23">M11+M3+M18+M26+M33+M39</f>
        <v>26420.198199999999</v>
      </c>
      <c r="N44" s="74">
        <f t="shared" si="23"/>
        <v>14839.809674999999</v>
      </c>
      <c r="O44" s="74">
        <f t="shared" si="23"/>
        <v>10774.846974999999</v>
      </c>
      <c r="P44" s="87"/>
      <c r="Q44" s="63">
        <f>SUM(D44:O44)</f>
        <v>436410.40047499997</v>
      </c>
      <c r="R44" s="51"/>
    </row>
    <row r="45" spans="1:18" x14ac:dyDescent="0.2">
      <c r="A45" s="23"/>
      <c r="B45"/>
      <c r="C45" s="14" t="s">
        <v>16</v>
      </c>
      <c r="D45" s="31">
        <f>D43/D44*100-100</f>
        <v>-36.055506108515125</v>
      </c>
      <c r="E45" s="15">
        <f t="shared" ref="E45:L45" si="24">E43/E44*100-100</f>
        <v>3.1959887926734183</v>
      </c>
      <c r="F45" s="15">
        <f t="shared" si="24"/>
        <v>-6.5484426968087348</v>
      </c>
      <c r="G45" s="15">
        <f t="shared" si="24"/>
        <v>-8.8612697942480452</v>
      </c>
      <c r="H45" s="15">
        <f t="shared" si="24"/>
        <v>-2.0120309478327272</v>
      </c>
      <c r="I45" s="15">
        <f>I43/I44*100-100</f>
        <v>-9.1276144727318496</v>
      </c>
      <c r="J45" s="15">
        <f t="shared" si="24"/>
        <v>4.4630426185085383</v>
      </c>
      <c r="K45" s="15">
        <f t="shared" si="24"/>
        <v>16.321332096258587</v>
      </c>
      <c r="L45" s="15">
        <f t="shared" si="24"/>
        <v>-8.6016871455833552</v>
      </c>
      <c r="M45" s="15">
        <f>M43/M44*100-100</f>
        <v>-28.070183818681571</v>
      </c>
      <c r="N45" s="15">
        <f t="shared" ref="N45:O45" si="25">N43/N44*100-100</f>
        <v>-28.092069684849236</v>
      </c>
      <c r="O45" s="15">
        <f t="shared" si="25"/>
        <v>-30.263510772504489</v>
      </c>
      <c r="P45" s="23"/>
      <c r="Q45" s="23"/>
      <c r="R45" s="52"/>
    </row>
    <row r="46" spans="1:18" x14ac:dyDescent="0.2">
      <c r="A46" s="23"/>
      <c r="B46"/>
      <c r="C46" s="77" t="s">
        <v>49</v>
      </c>
      <c r="D46" s="78">
        <f>D43/B43</f>
        <v>18.085152273315501</v>
      </c>
      <c r="E46" s="79">
        <f>E43/B43</f>
        <v>45.034940902424282</v>
      </c>
      <c r="F46" s="79">
        <f>F43/B43</f>
        <v>74.730394271417467</v>
      </c>
      <c r="G46" s="79">
        <f>G43/B43</f>
        <v>97.036493831420913</v>
      </c>
      <c r="H46" s="79">
        <f>H43/B43</f>
        <v>115.47752566646534</v>
      </c>
      <c r="I46" s="79">
        <f>I43/B43</f>
        <v>113.6657751703908</v>
      </c>
      <c r="J46" s="79">
        <f>J43/B43</f>
        <v>135.42403588991456</v>
      </c>
      <c r="K46" s="79">
        <f>K43/B43</f>
        <v>129.0009490121646</v>
      </c>
      <c r="L46" s="79">
        <f>L43/B43</f>
        <v>79.706237598136468</v>
      </c>
      <c r="M46" s="79">
        <f>M43/B43</f>
        <v>40.988698127857809</v>
      </c>
      <c r="N46" s="79">
        <f>N43/B43</f>
        <v>23.015701837632641</v>
      </c>
      <c r="O46" s="79">
        <f>O43/B43</f>
        <v>16.206539556552496</v>
      </c>
      <c r="P46" s="23"/>
      <c r="Q46" s="23"/>
      <c r="R46" s="52"/>
    </row>
    <row r="47" spans="1:18" x14ac:dyDescent="0.2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1540/B47</f>
        <v>35.426731078904993</v>
      </c>
      <c r="F47" s="41">
        <f>2590/B47</f>
        <v>59.58132045088567</v>
      </c>
      <c r="G47" s="41">
        <f>3470/B47</f>
        <v>79.825166781688523</v>
      </c>
      <c r="H47" s="41">
        <f>4190/B47</f>
        <v>96.38831377961813</v>
      </c>
      <c r="I47" s="41">
        <f>4170/B47</f>
        <v>95.928226363008974</v>
      </c>
      <c r="J47" s="41">
        <f>5040/B47</f>
        <v>115.94202898550725</v>
      </c>
      <c r="K47" s="41">
        <f>4730/B47</f>
        <v>108.81067402806534</v>
      </c>
      <c r="L47" s="41">
        <f>2890/B47</f>
        <v>66.482631700023006</v>
      </c>
      <c r="M47" s="41">
        <f>1470/B47</f>
        <v>33.816425120772948</v>
      </c>
      <c r="N47" s="41">
        <f>780/B47</f>
        <v>17.943409247757074</v>
      </c>
      <c r="O47" s="41">
        <f>571/B47</f>
        <v>13.135495744191397</v>
      </c>
      <c r="P47" s="43">
        <f>Q47/B47</f>
        <v>850.24154589371983</v>
      </c>
      <c r="Q47" s="65">
        <v>36960</v>
      </c>
      <c r="R47" s="52"/>
    </row>
    <row r="48" spans="1:18" x14ac:dyDescent="0.2">
      <c r="A48" s="23"/>
      <c r="B48"/>
      <c r="C48" s="38" t="s">
        <v>18</v>
      </c>
      <c r="D48" s="83">
        <v>32.735999999999997</v>
      </c>
      <c r="E48" s="81">
        <v>50.808</v>
      </c>
      <c r="F48" s="81">
        <v>87.048000000000002</v>
      </c>
      <c r="G48" s="81">
        <v>117.36</v>
      </c>
      <c r="H48" s="81">
        <v>140.61600000000001</v>
      </c>
      <c r="I48" s="81">
        <v>145.44</v>
      </c>
      <c r="J48" s="90">
        <v>180.792</v>
      </c>
      <c r="K48" s="90">
        <v>171.12</v>
      </c>
      <c r="L48" s="90">
        <v>98.64</v>
      </c>
      <c r="M48" s="90">
        <v>53.567999999999998</v>
      </c>
      <c r="N48" s="90">
        <v>36</v>
      </c>
      <c r="O48" s="90">
        <v>20.832000000000001</v>
      </c>
      <c r="P48" s="23"/>
      <c r="Q48" s="23"/>
      <c r="R48" s="82">
        <f>SUM(D48:Q48)</f>
        <v>1134.9600000000003</v>
      </c>
    </row>
    <row r="49" spans="1:18" x14ac:dyDescent="0.2">
      <c r="A49" s="54"/>
      <c r="B49" s="55"/>
      <c r="C49" s="56" t="s">
        <v>19</v>
      </c>
      <c r="D49" s="57">
        <v>68</v>
      </c>
      <c r="E49" s="58">
        <v>78</v>
      </c>
      <c r="F49" s="58">
        <v>123</v>
      </c>
      <c r="G49" s="58">
        <v>144</v>
      </c>
      <c r="H49" s="58">
        <v>148</v>
      </c>
      <c r="I49" s="58">
        <v>146</v>
      </c>
      <c r="J49" s="58">
        <v>227</v>
      </c>
      <c r="K49" s="58">
        <v>274</v>
      </c>
      <c r="L49" s="58">
        <v>136</v>
      </c>
      <c r="M49" s="58">
        <v>64</v>
      </c>
      <c r="N49" s="58">
        <v>69</v>
      </c>
      <c r="O49" s="55">
        <v>35</v>
      </c>
      <c r="P49" s="54"/>
      <c r="Q49" s="54">
        <f>SUM(D49:P49)</f>
        <v>1512</v>
      </c>
      <c r="R49" s="59"/>
    </row>
    <row r="50" spans="1:18" x14ac:dyDescent="0.2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6" x14ac:dyDescent="0.2">
      <c r="A51" s="17" t="s">
        <v>22</v>
      </c>
      <c r="B51" s="37" t="s">
        <v>24</v>
      </c>
    </row>
    <row r="53" spans="1:18" x14ac:dyDescent="0.2">
      <c r="A53" s="76"/>
    </row>
    <row r="54" spans="1:18" x14ac:dyDescent="0.2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8" x14ac:dyDescent="0.2">
      <c r="A55" s="76"/>
      <c r="P55" s="4">
        <v>171.12</v>
      </c>
    </row>
    <row r="56" spans="1:18" x14ac:dyDescent="0.2">
      <c r="A56" s="76"/>
      <c r="P56" s="4">
        <v>98.64</v>
      </c>
    </row>
    <row r="57" spans="1:18" x14ac:dyDescent="0.2">
      <c r="A57" s="76"/>
      <c r="P57" s="4">
        <v>53.567999999999998</v>
      </c>
    </row>
    <row r="58" spans="1:18" x14ac:dyDescent="0.2">
      <c r="A58" s="76"/>
      <c r="P58" s="4">
        <v>36</v>
      </c>
    </row>
    <row r="59" spans="1:18" x14ac:dyDescent="0.2">
      <c r="A59" s="76"/>
      <c r="P59" s="4">
        <v>20.832000000000001</v>
      </c>
    </row>
    <row r="60" spans="1:18" x14ac:dyDescent="0.2">
      <c r="A60" s="76"/>
    </row>
    <row r="61" spans="1:18" x14ac:dyDescent="0.2">
      <c r="A61" s="76"/>
    </row>
    <row r="62" spans="1:18" x14ac:dyDescent="0.2">
      <c r="A62" s="76"/>
    </row>
    <row r="63" spans="1:18" x14ac:dyDescent="0.2">
      <c r="A63" s="76"/>
    </row>
    <row r="64" spans="1:18" x14ac:dyDescent="0.2">
      <c r="A64" s="76"/>
    </row>
    <row r="65" spans="1:1" x14ac:dyDescent="0.2">
      <c r="A65" s="76"/>
    </row>
    <row r="66" spans="1:1" x14ac:dyDescent="0.2">
      <c r="A66" s="76"/>
    </row>
    <row r="67" spans="1:1" x14ac:dyDescent="0.2">
      <c r="A67" s="76"/>
    </row>
  </sheetData>
  <hyperlinks>
    <hyperlink ref="C49" r:id="rId1" xr:uid="{C9FB97F6-9174-41F9-A302-7AEF488A4B8C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DFE9-E047-48E3-9E91-08E1EF23C97C}">
  <dimension ref="A1:R67"/>
  <sheetViews>
    <sheetView zoomScaleNormal="100" zoomScalePageLayoutView="70" workbookViewId="0">
      <selection activeCell="J48" sqref="J48"/>
    </sheetView>
  </sheetViews>
  <sheetFormatPr baseColWidth="10" defaultRowHeight="15" x14ac:dyDescent="0.2"/>
  <cols>
    <col min="1" max="1" width="19.5" bestFit="1" customWidth="1"/>
    <col min="2" max="2" width="9.5" style="1" customWidth="1"/>
    <col min="3" max="3" width="25" customWidth="1"/>
    <col min="4" max="15" width="11.5" customWidth="1"/>
    <col min="16" max="16" width="18.5" style="4" bestFit="1" customWidth="1"/>
    <col min="17" max="17" width="10.83203125" customWidth="1"/>
    <col min="18" max="18" width="27.1640625" bestFit="1" customWidth="1"/>
  </cols>
  <sheetData>
    <row r="1" spans="1:18" ht="29.25" customHeight="1" x14ac:dyDescent="0.2">
      <c r="A1" s="2"/>
      <c r="B1" s="3" t="s">
        <v>20</v>
      </c>
      <c r="C1" s="75" t="s">
        <v>37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">
      <c r="A2" s="7" t="s">
        <v>31</v>
      </c>
      <c r="B2" s="1">
        <v>45.14</v>
      </c>
      <c r="C2" t="s">
        <v>15</v>
      </c>
      <c r="D2" s="33">
        <v>776</v>
      </c>
      <c r="E2" s="34">
        <v>2383</v>
      </c>
      <c r="F2" s="34">
        <v>3407</v>
      </c>
      <c r="G2" s="34">
        <v>4510</v>
      </c>
      <c r="H2" s="34">
        <v>5558</v>
      </c>
      <c r="I2" s="34">
        <v>7448</v>
      </c>
      <c r="J2" s="34">
        <v>6342</v>
      </c>
      <c r="K2" s="34">
        <v>5321</v>
      </c>
      <c r="L2" s="34">
        <v>4781</v>
      </c>
      <c r="M2" s="34">
        <v>2780</v>
      </c>
      <c r="N2" s="34">
        <v>1030</v>
      </c>
      <c r="O2" s="34">
        <v>643</v>
      </c>
      <c r="P2" s="19"/>
      <c r="Q2" s="24">
        <f>SUM(D2:O2)</f>
        <v>44979</v>
      </c>
      <c r="R2" s="23"/>
    </row>
    <row r="3" spans="1:18" x14ac:dyDescent="0.2">
      <c r="C3" t="s">
        <v>21</v>
      </c>
      <c r="D3" s="67">
        <v>1330.3150000000001</v>
      </c>
      <c r="E3" s="36">
        <v>2060.645</v>
      </c>
      <c r="F3" s="36">
        <v>3798.91</v>
      </c>
      <c r="G3" s="36">
        <v>5085.4449999999997</v>
      </c>
      <c r="H3" s="36">
        <v>5645.63</v>
      </c>
      <c r="I3" s="36">
        <v>6000.8450000000003</v>
      </c>
      <c r="J3" s="36">
        <v>6227.7049999999999</v>
      </c>
      <c r="K3" s="36">
        <v>5311.31</v>
      </c>
      <c r="L3" s="36">
        <v>4145.17</v>
      </c>
      <c r="M3" s="36">
        <v>2686.5</v>
      </c>
      <c r="N3" s="36">
        <v>1503.4449999999999</v>
      </c>
      <c r="O3" s="36">
        <v>1081.5650000000001</v>
      </c>
      <c r="P3" s="19"/>
      <c r="Q3" s="23">
        <f>SUM(D3:P3)</f>
        <v>44877.485000000001</v>
      </c>
      <c r="R3" s="23"/>
    </row>
    <row r="4" spans="1:18" s="68" customFormat="1" hidden="1" x14ac:dyDescent="0.2">
      <c r="B4" s="69"/>
      <c r="C4" s="68" t="s">
        <v>36</v>
      </c>
      <c r="D4" s="70">
        <f>D3*0.995</f>
        <v>1323.663425</v>
      </c>
      <c r="E4" s="70">
        <f t="shared" ref="E4:O4" si="0">E3*0.995</f>
        <v>2050.3417749999999</v>
      </c>
      <c r="F4" s="70">
        <f t="shared" si="0"/>
        <v>3779.91545</v>
      </c>
      <c r="G4" s="70">
        <f t="shared" si="0"/>
        <v>5060.0177749999993</v>
      </c>
      <c r="H4" s="70">
        <f t="shared" si="0"/>
        <v>5617.4018500000002</v>
      </c>
      <c r="I4" s="70">
        <f t="shared" si="0"/>
        <v>5970.8407750000006</v>
      </c>
      <c r="J4" s="70">
        <f t="shared" si="0"/>
        <v>6196.5664749999996</v>
      </c>
      <c r="K4" s="70">
        <f t="shared" si="0"/>
        <v>5284.7534500000002</v>
      </c>
      <c r="L4" s="70">
        <f t="shared" si="0"/>
        <v>4124.4441500000003</v>
      </c>
      <c r="M4" s="70">
        <f t="shared" si="0"/>
        <v>2673.0675000000001</v>
      </c>
      <c r="N4" s="70">
        <f t="shared" si="0"/>
        <v>1495.9277749999999</v>
      </c>
      <c r="O4" s="70">
        <f t="shared" si="0"/>
        <v>1076.1571750000001</v>
      </c>
      <c r="P4" s="73"/>
      <c r="Q4" s="72"/>
      <c r="R4" s="72"/>
    </row>
    <row r="5" spans="1:18" s="7" customFormat="1" x14ac:dyDescent="0.2">
      <c r="A5" s="5"/>
      <c r="B5" s="6"/>
      <c r="C5" s="5" t="s">
        <v>16</v>
      </c>
      <c r="D5" s="28">
        <f t="shared" ref="D5:H5" si="1">D2/D3*100-100</f>
        <v>-41.667950823677103</v>
      </c>
      <c r="E5" s="12">
        <f t="shared" si="1"/>
        <v>15.643402915106691</v>
      </c>
      <c r="F5" s="12">
        <f t="shared" si="1"/>
        <v>-10.316380224853972</v>
      </c>
      <c r="G5" s="12">
        <f t="shared" si="1"/>
        <v>-11.315528926180491</v>
      </c>
      <c r="H5" s="12">
        <f t="shared" si="1"/>
        <v>-1.5521739823545033</v>
      </c>
      <c r="I5" s="12">
        <f>I2/I3*100-100</f>
        <v>24.11585368393952</v>
      </c>
      <c r="J5" s="12">
        <f t="shared" ref="J5:O5" si="2">J2/J3*100-100</f>
        <v>1.8352667635991082</v>
      </c>
      <c r="K5" s="12">
        <f t="shared" si="2"/>
        <v>0.18244086675413484</v>
      </c>
      <c r="L5" s="12">
        <f t="shared" si="2"/>
        <v>15.339057264237653</v>
      </c>
      <c r="M5" s="12">
        <f t="shared" si="2"/>
        <v>3.4803647868974679</v>
      </c>
      <c r="N5" s="12">
        <f t="shared" si="2"/>
        <v>-31.490676413171087</v>
      </c>
      <c r="O5" s="12">
        <f t="shared" si="2"/>
        <v>-40.54911170387355</v>
      </c>
      <c r="P5" s="20">
        <f>Q2/B2</f>
        <v>996.43331856446605</v>
      </c>
      <c r="Q5" s="32"/>
      <c r="R5" s="26"/>
    </row>
    <row r="6" spans="1:18" x14ac:dyDescent="0.2">
      <c r="A6" s="7" t="s">
        <v>27</v>
      </c>
      <c r="B6" s="1">
        <v>13.32</v>
      </c>
      <c r="C6" t="s">
        <v>15</v>
      </c>
      <c r="D6" s="33">
        <v>196</v>
      </c>
      <c r="E6" s="34">
        <v>642</v>
      </c>
      <c r="F6" s="34">
        <v>957</v>
      </c>
      <c r="G6" s="34">
        <v>1263</v>
      </c>
      <c r="H6" s="34">
        <v>1506</v>
      </c>
      <c r="I6" s="34">
        <v>2045</v>
      </c>
      <c r="J6" s="34">
        <v>1826</v>
      </c>
      <c r="K6" s="34">
        <v>1521</v>
      </c>
      <c r="L6" s="34">
        <v>1366</v>
      </c>
      <c r="M6" s="34">
        <v>805</v>
      </c>
      <c r="N6" s="34">
        <v>277</v>
      </c>
      <c r="O6" s="34">
        <v>163</v>
      </c>
      <c r="P6" s="21"/>
      <c r="Q6" s="23"/>
      <c r="R6" s="23"/>
    </row>
    <row r="7" spans="1:18" x14ac:dyDescent="0.2">
      <c r="A7" s="7" t="s">
        <v>28</v>
      </c>
      <c r="B7" s="1">
        <v>13.32</v>
      </c>
      <c r="C7" t="s">
        <v>15</v>
      </c>
      <c r="D7" s="33">
        <v>213</v>
      </c>
      <c r="E7" s="34">
        <v>632</v>
      </c>
      <c r="F7" s="34">
        <v>960</v>
      </c>
      <c r="G7" s="34">
        <v>1260</v>
      </c>
      <c r="H7" s="34">
        <v>1550</v>
      </c>
      <c r="I7" s="34">
        <v>2112</v>
      </c>
      <c r="J7" s="34">
        <v>1807</v>
      </c>
      <c r="K7" s="34">
        <v>1516</v>
      </c>
      <c r="L7" s="34">
        <v>1363</v>
      </c>
      <c r="M7" s="34">
        <v>795</v>
      </c>
      <c r="N7" s="34">
        <v>283</v>
      </c>
      <c r="O7" s="34">
        <v>173</v>
      </c>
      <c r="P7" s="21"/>
      <c r="Q7" s="23"/>
      <c r="R7" s="23"/>
    </row>
    <row r="8" spans="1:18" x14ac:dyDescent="0.2">
      <c r="A8" s="7" t="s">
        <v>29</v>
      </c>
      <c r="B8" s="1">
        <v>13.32</v>
      </c>
      <c r="C8" t="s">
        <v>15</v>
      </c>
      <c r="D8" s="33">
        <v>219</v>
      </c>
      <c r="E8" s="34">
        <v>661</v>
      </c>
      <c r="F8" s="34">
        <v>969</v>
      </c>
      <c r="G8" s="34">
        <v>1284</v>
      </c>
      <c r="H8" s="34">
        <v>1589</v>
      </c>
      <c r="I8" s="34">
        <v>2139</v>
      </c>
      <c r="J8" s="34">
        <v>1822</v>
      </c>
      <c r="K8" s="34">
        <v>1526</v>
      </c>
      <c r="L8" s="34">
        <v>1367</v>
      </c>
      <c r="M8" s="34">
        <v>803</v>
      </c>
      <c r="N8" s="34">
        <v>292</v>
      </c>
      <c r="O8" s="34">
        <v>180</v>
      </c>
      <c r="P8" s="21"/>
      <c r="Q8" s="23"/>
      <c r="R8" s="23"/>
    </row>
    <row r="9" spans="1:18" x14ac:dyDescent="0.2">
      <c r="A9" s="7" t="s">
        <v>30</v>
      </c>
      <c r="B9" s="1">
        <v>13.32</v>
      </c>
      <c r="C9" t="s">
        <v>15</v>
      </c>
      <c r="D9" s="33">
        <v>221</v>
      </c>
      <c r="E9" s="34">
        <v>657</v>
      </c>
      <c r="F9" s="34">
        <v>967</v>
      </c>
      <c r="G9" s="34">
        <v>1294</v>
      </c>
      <c r="H9" s="34">
        <v>1580</v>
      </c>
      <c r="I9" s="34">
        <v>2166</v>
      </c>
      <c r="J9" s="34">
        <v>1925</v>
      </c>
      <c r="K9" s="34">
        <v>1592</v>
      </c>
      <c r="L9" s="34">
        <v>1420</v>
      </c>
      <c r="M9" s="34">
        <v>825</v>
      </c>
      <c r="N9" s="34">
        <v>298</v>
      </c>
      <c r="O9" s="34">
        <v>183</v>
      </c>
      <c r="P9" s="21"/>
      <c r="Q9" s="23"/>
      <c r="R9" s="23"/>
    </row>
    <row r="10" spans="1:18" x14ac:dyDescent="0.2">
      <c r="C10" s="16" t="s">
        <v>17</v>
      </c>
      <c r="D10" s="29">
        <f t="shared" ref="D10:H10" si="3">SUM(D6:D9)</f>
        <v>849</v>
      </c>
      <c r="E10" s="16">
        <f t="shared" si="3"/>
        <v>2592</v>
      </c>
      <c r="F10" s="16">
        <f t="shared" si="3"/>
        <v>3853</v>
      </c>
      <c r="G10" s="16">
        <f t="shared" si="3"/>
        <v>5101</v>
      </c>
      <c r="H10" s="16">
        <f t="shared" si="3"/>
        <v>6225</v>
      </c>
      <c r="I10" s="16">
        <f>SUM(I6:I9)</f>
        <v>8462</v>
      </c>
      <c r="J10" s="16">
        <f t="shared" ref="J10:O10" si="4">SUM(J6:J9)</f>
        <v>7380</v>
      </c>
      <c r="K10" s="16">
        <f t="shared" si="4"/>
        <v>6155</v>
      </c>
      <c r="L10" s="16">
        <f t="shared" si="4"/>
        <v>5516</v>
      </c>
      <c r="M10" s="16">
        <f t="shared" si="4"/>
        <v>3228</v>
      </c>
      <c r="N10" s="16">
        <f t="shared" si="4"/>
        <v>1150</v>
      </c>
      <c r="O10" s="16">
        <f t="shared" si="4"/>
        <v>699</v>
      </c>
      <c r="P10" s="21"/>
      <c r="Q10" s="24">
        <f>SUM(D10:O10)</f>
        <v>51210</v>
      </c>
      <c r="R10" s="23"/>
    </row>
    <row r="11" spans="1:18" x14ac:dyDescent="0.2">
      <c r="C11" t="s">
        <v>21</v>
      </c>
      <c r="D11" s="67">
        <v>1460.66</v>
      </c>
      <c r="E11" s="36">
        <v>2300.44</v>
      </c>
      <c r="F11" s="36">
        <v>4306.3599999999997</v>
      </c>
      <c r="G11" s="36">
        <v>5826.72</v>
      </c>
      <c r="H11" s="36">
        <v>6527.2</v>
      </c>
      <c r="I11" s="36">
        <v>6949.08</v>
      </c>
      <c r="J11" s="36">
        <v>7199.82</v>
      </c>
      <c r="K11" s="36">
        <v>6105.32</v>
      </c>
      <c r="L11" s="36">
        <v>4716.3</v>
      </c>
      <c r="M11" s="36">
        <v>3012.86</v>
      </c>
      <c r="N11" s="36">
        <v>1667.62</v>
      </c>
      <c r="O11" s="36">
        <v>1186.04</v>
      </c>
      <c r="P11" s="21"/>
      <c r="Q11" s="23">
        <f>SUM(D11:P11)</f>
        <v>51258.420000000006</v>
      </c>
      <c r="R11" s="23"/>
    </row>
    <row r="12" spans="1:18" s="68" customFormat="1" hidden="1" x14ac:dyDescent="0.2">
      <c r="B12" s="69"/>
      <c r="C12" s="68" t="s">
        <v>36</v>
      </c>
      <c r="D12" s="70">
        <f>D11*0.995</f>
        <v>1453.3567</v>
      </c>
      <c r="E12" s="70">
        <f t="shared" ref="E12" si="5">E11*0.995</f>
        <v>2288.9378000000002</v>
      </c>
      <c r="F12" s="70">
        <f t="shared" ref="F12" si="6">F11*0.995</f>
        <v>4284.8281999999999</v>
      </c>
      <c r="G12" s="70">
        <f t="shared" ref="G12" si="7">G11*0.995</f>
        <v>5797.5864000000001</v>
      </c>
      <c r="H12" s="70">
        <f t="shared" ref="H12" si="8">H11*0.995</f>
        <v>6494.5639999999994</v>
      </c>
      <c r="I12" s="70">
        <f t="shared" ref="I12" si="9">I11*0.995</f>
        <v>6914.3346000000001</v>
      </c>
      <c r="J12" s="70">
        <f t="shared" ref="J12" si="10">J11*0.995</f>
        <v>7163.8208999999997</v>
      </c>
      <c r="K12" s="70">
        <f t="shared" ref="K12" si="11">K11*0.995</f>
        <v>6074.7933999999996</v>
      </c>
      <c r="L12" s="70">
        <f t="shared" ref="L12" si="12">L11*0.995</f>
        <v>4692.7184999999999</v>
      </c>
      <c r="M12" s="70">
        <f t="shared" ref="M12" si="13">M11*0.995</f>
        <v>2997.7957000000001</v>
      </c>
      <c r="N12" s="70">
        <f t="shared" ref="N12" si="14">N11*0.995</f>
        <v>1659.2819</v>
      </c>
      <c r="O12" s="70">
        <f t="shared" ref="O12" si="15">O11*0.995</f>
        <v>1180.1098</v>
      </c>
      <c r="P12" s="71"/>
      <c r="Q12" s="72"/>
      <c r="R12" s="72"/>
    </row>
    <row r="13" spans="1:18" s="7" customFormat="1" x14ac:dyDescent="0.2">
      <c r="A13" s="5"/>
      <c r="B13" s="6"/>
      <c r="C13" s="5" t="s">
        <v>16</v>
      </c>
      <c r="D13" s="28">
        <f t="shared" ref="D13:O13" si="16">D10/D11*100-100</f>
        <v>-41.875590486492406</v>
      </c>
      <c r="E13" s="12">
        <f t="shared" si="16"/>
        <v>12.674097129244828</v>
      </c>
      <c r="F13" s="12">
        <f t="shared" si="16"/>
        <v>-10.527684633890331</v>
      </c>
      <c r="G13" s="12">
        <f t="shared" si="16"/>
        <v>-12.455034736524155</v>
      </c>
      <c r="H13" s="12">
        <f t="shared" si="16"/>
        <v>-4.6298566000735377</v>
      </c>
      <c r="I13" s="12">
        <f t="shared" si="16"/>
        <v>21.771515078254964</v>
      </c>
      <c r="J13" s="12">
        <f t="shared" si="16"/>
        <v>2.5025625640641209</v>
      </c>
      <c r="K13" s="12">
        <f t="shared" si="16"/>
        <v>0.81371656194926345</v>
      </c>
      <c r="L13" s="12">
        <f t="shared" si="16"/>
        <v>16.956088459173486</v>
      </c>
      <c r="M13" s="12">
        <f t="shared" si="16"/>
        <v>7.1407234322205397</v>
      </c>
      <c r="N13" s="12">
        <f t="shared" si="16"/>
        <v>-31.039445437209906</v>
      </c>
      <c r="O13" s="12">
        <f t="shared" si="16"/>
        <v>-41.064382314255845</v>
      </c>
      <c r="P13" s="20">
        <f>Q10/(B9+B8+B7+B6)</f>
        <v>961.14864864864865</v>
      </c>
      <c r="Q13" s="32"/>
      <c r="R13" s="26"/>
    </row>
    <row r="14" spans="1:18" x14ac:dyDescent="0.2">
      <c r="A14" s="7" t="s">
        <v>38</v>
      </c>
      <c r="B14" s="53">
        <v>20</v>
      </c>
      <c r="C14" t="s">
        <v>15</v>
      </c>
      <c r="D14" s="33"/>
      <c r="E14" s="34">
        <v>822</v>
      </c>
      <c r="F14" s="34">
        <v>1537</v>
      </c>
      <c r="G14" s="34">
        <v>2031</v>
      </c>
      <c r="H14" s="34">
        <v>2580</v>
      </c>
      <c r="I14" s="34">
        <v>3478</v>
      </c>
      <c r="J14" s="34">
        <v>3002</v>
      </c>
      <c r="K14" s="34">
        <v>2501</v>
      </c>
      <c r="L14" s="34">
        <v>2265</v>
      </c>
      <c r="M14" s="34">
        <v>1308</v>
      </c>
      <c r="N14" s="34">
        <v>473</v>
      </c>
      <c r="O14" s="34">
        <v>280</v>
      </c>
      <c r="P14" s="21"/>
      <c r="Q14" s="23"/>
      <c r="R14" s="23"/>
    </row>
    <row r="15" spans="1:18" x14ac:dyDescent="0.2">
      <c r="A15" s="7" t="s">
        <v>39</v>
      </c>
      <c r="B15" s="1">
        <v>45.2</v>
      </c>
      <c r="C15" t="s">
        <v>15</v>
      </c>
      <c r="D15" s="33"/>
      <c r="E15" s="34">
        <v>1387</v>
      </c>
      <c r="F15" s="34">
        <v>3456</v>
      </c>
      <c r="G15" s="34">
        <v>4619</v>
      </c>
      <c r="H15" s="34">
        <v>5942</v>
      </c>
      <c r="I15" s="34">
        <v>8030</v>
      </c>
      <c r="J15" s="34">
        <v>6841</v>
      </c>
      <c r="K15" s="34">
        <v>5659</v>
      </c>
      <c r="L15" s="34">
        <v>5156</v>
      </c>
      <c r="M15" s="34">
        <v>3030</v>
      </c>
      <c r="N15" s="34">
        <v>1120</v>
      </c>
      <c r="O15" s="34">
        <v>707</v>
      </c>
      <c r="P15" s="21"/>
      <c r="Q15" s="23"/>
      <c r="R15" s="23"/>
    </row>
    <row r="16" spans="1:18" x14ac:dyDescent="0.2">
      <c r="A16" s="7" t="s">
        <v>40</v>
      </c>
      <c r="B16" s="1">
        <v>20.8</v>
      </c>
      <c r="C16" t="s">
        <v>15</v>
      </c>
      <c r="D16" s="33"/>
      <c r="E16" s="34">
        <v>795</v>
      </c>
      <c r="F16" s="34">
        <v>1609</v>
      </c>
      <c r="G16" s="34">
        <v>2144</v>
      </c>
      <c r="H16" s="34">
        <v>2746</v>
      </c>
      <c r="I16" s="34">
        <v>3706</v>
      </c>
      <c r="J16" s="34">
        <v>3169</v>
      </c>
      <c r="K16" s="34">
        <v>2621</v>
      </c>
      <c r="L16" s="34">
        <v>2406</v>
      </c>
      <c r="M16" s="34">
        <v>1419</v>
      </c>
      <c r="N16" s="34">
        <v>516</v>
      </c>
      <c r="O16" s="34">
        <v>318</v>
      </c>
      <c r="P16" s="21"/>
      <c r="Q16" s="23"/>
      <c r="R16" s="23"/>
    </row>
    <row r="17" spans="1:18" x14ac:dyDescent="0.2">
      <c r="C17" s="16" t="s">
        <v>17</v>
      </c>
      <c r="D17" s="29">
        <f t="shared" ref="D17:O17" si="17">SUM(D14:D16)</f>
        <v>0</v>
      </c>
      <c r="E17" s="16">
        <f t="shared" si="17"/>
        <v>3004</v>
      </c>
      <c r="F17" s="16">
        <f t="shared" si="17"/>
        <v>6602</v>
      </c>
      <c r="G17" s="16">
        <f t="shared" si="17"/>
        <v>8794</v>
      </c>
      <c r="H17" s="16">
        <f t="shared" si="17"/>
        <v>11268</v>
      </c>
      <c r="I17" s="16">
        <f t="shared" si="17"/>
        <v>15214</v>
      </c>
      <c r="J17" s="16">
        <f t="shared" si="17"/>
        <v>13012</v>
      </c>
      <c r="K17" s="16">
        <f t="shared" si="17"/>
        <v>10781</v>
      </c>
      <c r="L17" s="16">
        <f t="shared" si="17"/>
        <v>9827</v>
      </c>
      <c r="M17" s="16">
        <f t="shared" si="17"/>
        <v>5757</v>
      </c>
      <c r="N17" s="16">
        <f t="shared" si="17"/>
        <v>2109</v>
      </c>
      <c r="O17" s="16">
        <f t="shared" si="17"/>
        <v>1305</v>
      </c>
      <c r="P17" s="21"/>
      <c r="Q17" s="24">
        <f>SUM(D17:O17)</f>
        <v>87673</v>
      </c>
      <c r="R17" s="23" t="s">
        <v>51</v>
      </c>
    </row>
    <row r="18" spans="1:18" x14ac:dyDescent="0.2">
      <c r="C18" t="s">
        <v>21</v>
      </c>
      <c r="D18" s="67">
        <v>2427</v>
      </c>
      <c r="E18" s="36">
        <v>3757</v>
      </c>
      <c r="F18" s="36">
        <v>6890</v>
      </c>
      <c r="G18" s="36">
        <v>9170</v>
      </c>
      <c r="H18" s="36">
        <v>10170</v>
      </c>
      <c r="I18" s="36">
        <v>10780</v>
      </c>
      <c r="J18" s="36">
        <v>11183</v>
      </c>
      <c r="K18" s="36">
        <v>9553</v>
      </c>
      <c r="L18" s="36">
        <v>7505</v>
      </c>
      <c r="M18" s="36">
        <v>4890</v>
      </c>
      <c r="N18" s="36">
        <v>2732</v>
      </c>
      <c r="O18" s="36">
        <v>1973</v>
      </c>
      <c r="P18" s="21"/>
      <c r="Q18" s="23">
        <f>SUM(D18:P18)</f>
        <v>81030</v>
      </c>
      <c r="R18" s="23"/>
    </row>
    <row r="19" spans="1:18" s="68" customFormat="1" hidden="1" x14ac:dyDescent="0.2">
      <c r="B19" s="69"/>
      <c r="C19" s="68" t="s">
        <v>36</v>
      </c>
      <c r="D19" s="70">
        <f>D18*0.995</f>
        <v>2414.8649999999998</v>
      </c>
      <c r="E19" s="70">
        <f t="shared" ref="E19:O19" si="18">E18*0.995</f>
        <v>3738.2150000000001</v>
      </c>
      <c r="F19" s="70">
        <f t="shared" si="18"/>
        <v>6855.55</v>
      </c>
      <c r="G19" s="70">
        <f t="shared" si="18"/>
        <v>9124.15</v>
      </c>
      <c r="H19" s="70">
        <f t="shared" si="18"/>
        <v>10119.15</v>
      </c>
      <c r="I19" s="70">
        <f t="shared" si="18"/>
        <v>10726.1</v>
      </c>
      <c r="J19" s="70">
        <f t="shared" si="18"/>
        <v>11127.084999999999</v>
      </c>
      <c r="K19" s="70">
        <f t="shared" si="18"/>
        <v>9505.2350000000006</v>
      </c>
      <c r="L19" s="70">
        <f t="shared" si="18"/>
        <v>7467.4750000000004</v>
      </c>
      <c r="M19" s="70">
        <f t="shared" si="18"/>
        <v>4865.55</v>
      </c>
      <c r="N19" s="70">
        <f t="shared" si="18"/>
        <v>2718.34</v>
      </c>
      <c r="O19" s="70">
        <f t="shared" si="18"/>
        <v>1963.135</v>
      </c>
      <c r="P19" s="71"/>
      <c r="Q19" s="72"/>
      <c r="R19" s="72"/>
    </row>
    <row r="20" spans="1:18" s="7" customFormat="1" x14ac:dyDescent="0.2">
      <c r="A20" s="5"/>
      <c r="B20" s="6"/>
      <c r="C20" s="5" t="s">
        <v>16</v>
      </c>
      <c r="D20" s="28">
        <f t="shared" ref="D20:O20" si="19">D17/D18*100-100</f>
        <v>-100</v>
      </c>
      <c r="E20" s="12">
        <f t="shared" si="19"/>
        <v>-20.042587170614851</v>
      </c>
      <c r="F20" s="12">
        <f t="shared" si="19"/>
        <v>-4.1799709724238028</v>
      </c>
      <c r="G20" s="12">
        <f t="shared" si="19"/>
        <v>-4.1003271537622794</v>
      </c>
      <c r="H20" s="12">
        <f t="shared" si="19"/>
        <v>10.796460176991147</v>
      </c>
      <c r="I20" s="12">
        <f t="shared" si="19"/>
        <v>41.131725417439696</v>
      </c>
      <c r="J20" s="12">
        <f t="shared" si="19"/>
        <v>16.355181972637041</v>
      </c>
      <c r="K20" s="12">
        <f t="shared" si="19"/>
        <v>12.854600649010777</v>
      </c>
      <c r="L20" s="12">
        <f t="shared" si="19"/>
        <v>30.939373750832772</v>
      </c>
      <c r="M20" s="12">
        <f t="shared" si="19"/>
        <v>17.730061349693258</v>
      </c>
      <c r="N20" s="12">
        <f t="shared" si="19"/>
        <v>-22.803806734992676</v>
      </c>
      <c r="O20" s="12">
        <f t="shared" si="19"/>
        <v>-33.857070451089712</v>
      </c>
      <c r="P20" s="20">
        <f>Q17/(B16+B15+B14)</f>
        <v>1019.453488372093</v>
      </c>
      <c r="Q20" s="32"/>
      <c r="R20" s="26"/>
    </row>
    <row r="21" spans="1:18" x14ac:dyDescent="0.2">
      <c r="A21" s="7" t="s">
        <v>42</v>
      </c>
      <c r="B21" s="53">
        <v>36.799999999999997</v>
      </c>
      <c r="C21" t="s">
        <v>15</v>
      </c>
      <c r="D21" s="33"/>
      <c r="E21" s="34">
        <v>1469</v>
      </c>
      <c r="F21" s="34">
        <v>2857</v>
      </c>
      <c r="G21" s="34">
        <v>3745</v>
      </c>
      <c r="H21" s="34">
        <v>4810</v>
      </c>
      <c r="I21" s="34">
        <v>6462</v>
      </c>
      <c r="J21" s="34">
        <v>5551</v>
      </c>
      <c r="K21" s="34">
        <v>4603</v>
      </c>
      <c r="L21" s="34">
        <v>4276</v>
      </c>
      <c r="M21" s="34">
        <v>2527</v>
      </c>
      <c r="N21" s="34">
        <v>929</v>
      </c>
      <c r="O21" s="34">
        <v>576</v>
      </c>
      <c r="P21" s="21"/>
      <c r="Q21" s="23"/>
      <c r="R21" s="23"/>
    </row>
    <row r="22" spans="1:18" x14ac:dyDescent="0.2">
      <c r="A22" s="7" t="s">
        <v>43</v>
      </c>
      <c r="B22" s="53">
        <v>36.799999999999997</v>
      </c>
      <c r="C22" t="s">
        <v>15</v>
      </c>
      <c r="D22" s="33"/>
      <c r="E22" s="34">
        <v>1857</v>
      </c>
      <c r="F22" s="34">
        <v>2784</v>
      </c>
      <c r="G22" s="34">
        <v>3724</v>
      </c>
      <c r="H22" s="34">
        <v>4755</v>
      </c>
      <c r="I22" s="34">
        <v>6386</v>
      </c>
      <c r="J22" s="34">
        <v>5446</v>
      </c>
      <c r="K22" s="34">
        <v>4477</v>
      </c>
      <c r="L22" s="34">
        <v>4231</v>
      </c>
      <c r="M22" s="34">
        <v>2497</v>
      </c>
      <c r="N22" s="34">
        <v>913</v>
      </c>
      <c r="O22" s="34">
        <v>568</v>
      </c>
      <c r="P22" s="21"/>
      <c r="Q22" s="23"/>
      <c r="R22" s="23"/>
    </row>
    <row r="23" spans="1:18" x14ac:dyDescent="0.2">
      <c r="A23" s="7" t="s">
        <v>44</v>
      </c>
      <c r="B23" s="1">
        <v>21.6</v>
      </c>
      <c r="C23" t="s">
        <v>15</v>
      </c>
      <c r="D23" s="33"/>
      <c r="E23" s="34">
        <v>780</v>
      </c>
      <c r="F23" s="34">
        <v>1628</v>
      </c>
      <c r="G23" s="34">
        <v>2158</v>
      </c>
      <c r="H23" s="34">
        <v>2769</v>
      </c>
      <c r="I23" s="34">
        <v>3738</v>
      </c>
      <c r="J23" s="34">
        <v>3216</v>
      </c>
      <c r="K23" s="34">
        <v>2648</v>
      </c>
      <c r="L23" s="34">
        <v>2455</v>
      </c>
      <c r="M23" s="34">
        <v>1443</v>
      </c>
      <c r="N23" s="34">
        <v>527</v>
      </c>
      <c r="O23" s="34">
        <v>337</v>
      </c>
      <c r="P23" s="21"/>
      <c r="Q23" s="23"/>
      <c r="R23" s="23"/>
    </row>
    <row r="24" spans="1:18" x14ac:dyDescent="0.2">
      <c r="A24" s="7" t="s">
        <v>45</v>
      </c>
      <c r="B24" s="1">
        <v>21.6</v>
      </c>
      <c r="C24" t="s">
        <v>15</v>
      </c>
      <c r="D24" s="33"/>
      <c r="E24" s="34">
        <v>1065</v>
      </c>
      <c r="F24" s="34">
        <v>1662</v>
      </c>
      <c r="G24" s="34">
        <v>2209</v>
      </c>
      <c r="H24" s="34">
        <v>2813</v>
      </c>
      <c r="I24" s="34">
        <v>3782</v>
      </c>
      <c r="J24" s="34">
        <v>3256</v>
      </c>
      <c r="K24" s="34">
        <v>2674</v>
      </c>
      <c r="L24" s="34">
        <v>2521</v>
      </c>
      <c r="M24" s="34">
        <v>1496</v>
      </c>
      <c r="N24" s="34">
        <v>548</v>
      </c>
      <c r="O24" s="34">
        <v>352</v>
      </c>
      <c r="P24" s="21"/>
      <c r="Q24" s="23"/>
      <c r="R24" s="23"/>
    </row>
    <row r="25" spans="1:18" x14ac:dyDescent="0.2">
      <c r="C25" s="16" t="s">
        <v>17</v>
      </c>
      <c r="D25" s="29">
        <f t="shared" ref="D25:H25" si="20">SUM(D21:D24)</f>
        <v>0</v>
      </c>
      <c r="E25" s="16">
        <f t="shared" si="20"/>
        <v>5171</v>
      </c>
      <c r="F25" s="16">
        <f t="shared" si="20"/>
        <v>8931</v>
      </c>
      <c r="G25" s="16">
        <f t="shared" si="20"/>
        <v>11836</v>
      </c>
      <c r="H25" s="16">
        <f t="shared" si="20"/>
        <v>15147</v>
      </c>
      <c r="I25" s="16">
        <f>SUM(I21:I24)</f>
        <v>20368</v>
      </c>
      <c r="J25" s="16">
        <f t="shared" ref="J25:O25" si="21">SUM(J21:J24)</f>
        <v>17469</v>
      </c>
      <c r="K25" s="16">
        <f t="shared" si="21"/>
        <v>14402</v>
      </c>
      <c r="L25" s="16">
        <f t="shared" si="21"/>
        <v>13483</v>
      </c>
      <c r="M25" s="16">
        <f t="shared" si="21"/>
        <v>7963</v>
      </c>
      <c r="N25" s="16">
        <f t="shared" si="21"/>
        <v>2917</v>
      </c>
      <c r="O25" s="16">
        <f t="shared" si="21"/>
        <v>1833</v>
      </c>
      <c r="P25" s="21"/>
      <c r="Q25" s="24">
        <f>SUM(D25:O25)</f>
        <v>119520</v>
      </c>
      <c r="R25" s="23" t="s">
        <v>51</v>
      </c>
    </row>
    <row r="26" spans="1:18" x14ac:dyDescent="0.2">
      <c r="C26" t="s">
        <v>21</v>
      </c>
      <c r="D26" s="67">
        <v>3420</v>
      </c>
      <c r="E26" s="36">
        <v>5230</v>
      </c>
      <c r="F26" s="36">
        <v>9470</v>
      </c>
      <c r="G26" s="36">
        <v>12470</v>
      </c>
      <c r="H26" s="36">
        <v>13710</v>
      </c>
      <c r="I26" s="36">
        <v>14520</v>
      </c>
      <c r="J26" s="36">
        <v>15070</v>
      </c>
      <c r="K26" s="36">
        <v>12970</v>
      </c>
      <c r="L26" s="36">
        <v>10290</v>
      </c>
      <c r="M26" s="36">
        <v>6800</v>
      </c>
      <c r="N26" s="36">
        <v>3860</v>
      </c>
      <c r="O26" s="36">
        <v>2830</v>
      </c>
      <c r="P26" s="21"/>
      <c r="Q26" s="23">
        <f>SUM(D26:P26)</f>
        <v>110640</v>
      </c>
      <c r="R26" s="23"/>
    </row>
    <row r="27" spans="1:18" s="68" customFormat="1" hidden="1" x14ac:dyDescent="0.2">
      <c r="B27" s="69"/>
      <c r="C27" s="68" t="s">
        <v>36</v>
      </c>
      <c r="D27" s="70">
        <f>D26*0.995</f>
        <v>3402.9</v>
      </c>
      <c r="E27" s="70">
        <f t="shared" ref="E27:O27" si="22">E26*0.995</f>
        <v>5203.8500000000004</v>
      </c>
      <c r="F27" s="70">
        <f t="shared" si="22"/>
        <v>9422.65</v>
      </c>
      <c r="G27" s="70">
        <f t="shared" si="22"/>
        <v>12407.65</v>
      </c>
      <c r="H27" s="70">
        <f t="shared" si="22"/>
        <v>13641.45</v>
      </c>
      <c r="I27" s="70">
        <f t="shared" si="22"/>
        <v>14447.4</v>
      </c>
      <c r="J27" s="70">
        <f t="shared" si="22"/>
        <v>14994.65</v>
      </c>
      <c r="K27" s="70">
        <f t="shared" si="22"/>
        <v>12905.15</v>
      </c>
      <c r="L27" s="70">
        <f t="shared" si="22"/>
        <v>10238.549999999999</v>
      </c>
      <c r="M27" s="70">
        <f t="shared" si="22"/>
        <v>6766</v>
      </c>
      <c r="N27" s="70">
        <f t="shared" si="22"/>
        <v>3840.7</v>
      </c>
      <c r="O27" s="70">
        <f t="shared" si="22"/>
        <v>2815.85</v>
      </c>
      <c r="P27" s="71"/>
      <c r="Q27" s="72"/>
      <c r="R27" s="72"/>
    </row>
    <row r="28" spans="1:18" s="7" customFormat="1" x14ac:dyDescent="0.2">
      <c r="A28" s="5"/>
      <c r="B28" s="6"/>
      <c r="C28" s="5" t="s">
        <v>16</v>
      </c>
      <c r="D28" s="28">
        <f t="shared" ref="D28:O28" si="23">D25/D26*100-100</f>
        <v>-100</v>
      </c>
      <c r="E28" s="12">
        <f t="shared" si="23"/>
        <v>-1.1281070745697974</v>
      </c>
      <c r="F28" s="12">
        <f t="shared" si="23"/>
        <v>-5.6916578669482618</v>
      </c>
      <c r="G28" s="12">
        <f t="shared" si="23"/>
        <v>-5.0842020850040086</v>
      </c>
      <c r="H28" s="12">
        <f t="shared" si="23"/>
        <v>10.481400437636765</v>
      </c>
      <c r="I28" s="12">
        <f t="shared" si="23"/>
        <v>40.275482093663925</v>
      </c>
      <c r="J28" s="12">
        <f t="shared" si="23"/>
        <v>15.919044459190431</v>
      </c>
      <c r="K28" s="12">
        <f t="shared" si="23"/>
        <v>11.040863531225909</v>
      </c>
      <c r="L28" s="12">
        <f t="shared" si="23"/>
        <v>31.03012633624877</v>
      </c>
      <c r="M28" s="12">
        <f t="shared" si="23"/>
        <v>17.102941176470594</v>
      </c>
      <c r="N28" s="12">
        <f t="shared" si="23"/>
        <v>-24.430051813471493</v>
      </c>
      <c r="O28" s="12">
        <f t="shared" si="23"/>
        <v>-35.229681978798595</v>
      </c>
      <c r="P28" s="20">
        <f>Q25/(B24+B23+B22+B21)</f>
        <v>1023.2876712328767</v>
      </c>
      <c r="Q28" s="32"/>
      <c r="R28" s="26"/>
    </row>
    <row r="29" spans="1:18" x14ac:dyDescent="0.2">
      <c r="A29" s="7" t="s">
        <v>47</v>
      </c>
      <c r="B29" s="53">
        <v>32.799999999999997</v>
      </c>
      <c r="C29" t="s">
        <v>15</v>
      </c>
      <c r="D29" s="33"/>
      <c r="E29" s="34">
        <v>441</v>
      </c>
      <c r="F29" s="34">
        <v>2551</v>
      </c>
      <c r="G29" s="34">
        <v>3392</v>
      </c>
      <c r="H29" s="34">
        <v>4327</v>
      </c>
      <c r="I29" s="34">
        <v>5886</v>
      </c>
      <c r="J29" s="34">
        <v>4941</v>
      </c>
      <c r="K29" s="34">
        <v>4182</v>
      </c>
      <c r="L29" s="34">
        <v>3889</v>
      </c>
      <c r="M29" s="34">
        <v>2344</v>
      </c>
      <c r="N29" s="34">
        <v>858</v>
      </c>
      <c r="O29" s="34">
        <v>532</v>
      </c>
      <c r="P29" s="21"/>
      <c r="Q29" s="23"/>
      <c r="R29" s="23"/>
    </row>
    <row r="30" spans="1:18" x14ac:dyDescent="0.2">
      <c r="A30" s="7" t="s">
        <v>46</v>
      </c>
      <c r="B30" s="1">
        <v>40.4</v>
      </c>
      <c r="C30" t="s">
        <v>15</v>
      </c>
      <c r="D30" s="33"/>
      <c r="E30" s="34">
        <v>1945</v>
      </c>
      <c r="F30" s="34">
        <v>3093</v>
      </c>
      <c r="G30" s="34">
        <v>4145</v>
      </c>
      <c r="H30" s="34">
        <v>5180</v>
      </c>
      <c r="I30" s="34">
        <v>6921</v>
      </c>
      <c r="J30" s="34">
        <v>5897</v>
      </c>
      <c r="K30" s="34">
        <v>4630</v>
      </c>
      <c r="L30" s="34">
        <v>4307</v>
      </c>
      <c r="M30" s="34">
        <v>2678</v>
      </c>
      <c r="N30" s="34">
        <v>1014</v>
      </c>
      <c r="O30" s="34">
        <v>646</v>
      </c>
      <c r="P30" s="21"/>
      <c r="Q30" s="23"/>
      <c r="R30" s="23"/>
    </row>
    <row r="31" spans="1:18" x14ac:dyDescent="0.2">
      <c r="A31" s="7" t="s">
        <v>48</v>
      </c>
      <c r="B31" s="1">
        <v>22.8</v>
      </c>
      <c r="C31" t="s">
        <v>15</v>
      </c>
      <c r="D31" s="33"/>
      <c r="E31" s="34">
        <v>1090</v>
      </c>
      <c r="F31" s="34">
        <v>1755</v>
      </c>
      <c r="G31" s="34">
        <v>2359</v>
      </c>
      <c r="H31" s="34">
        <v>3030</v>
      </c>
      <c r="I31" s="34">
        <v>4072</v>
      </c>
      <c r="J31" s="34">
        <v>3447</v>
      </c>
      <c r="K31" s="34">
        <v>2793</v>
      </c>
      <c r="L31" s="34">
        <v>2604</v>
      </c>
      <c r="M31" s="34">
        <v>1557</v>
      </c>
      <c r="N31" s="34">
        <v>570</v>
      </c>
      <c r="O31" s="34">
        <v>358</v>
      </c>
      <c r="P31" s="21"/>
      <c r="Q31" s="23"/>
      <c r="R31" s="23"/>
    </row>
    <row r="32" spans="1:18" x14ac:dyDescent="0.2">
      <c r="C32" s="16" t="s">
        <v>17</v>
      </c>
      <c r="D32" s="29">
        <f t="shared" ref="D32:O32" si="24">SUM(D29:D31)</f>
        <v>0</v>
      </c>
      <c r="E32" s="16">
        <f t="shared" si="24"/>
        <v>3476</v>
      </c>
      <c r="F32" s="16">
        <f t="shared" si="24"/>
        <v>7399</v>
      </c>
      <c r="G32" s="16">
        <f t="shared" si="24"/>
        <v>9896</v>
      </c>
      <c r="H32" s="16">
        <f t="shared" si="24"/>
        <v>12537</v>
      </c>
      <c r="I32" s="16">
        <f t="shared" si="24"/>
        <v>16879</v>
      </c>
      <c r="J32" s="16">
        <f t="shared" si="24"/>
        <v>14285</v>
      </c>
      <c r="K32" s="16">
        <f t="shared" si="24"/>
        <v>11605</v>
      </c>
      <c r="L32" s="16">
        <f t="shared" si="24"/>
        <v>10800</v>
      </c>
      <c r="M32" s="16">
        <f t="shared" si="24"/>
        <v>6579</v>
      </c>
      <c r="N32" s="16">
        <f t="shared" si="24"/>
        <v>2442</v>
      </c>
      <c r="O32" s="16">
        <f t="shared" si="24"/>
        <v>1536</v>
      </c>
      <c r="P32" s="21"/>
      <c r="Q32" s="24">
        <f>SUM(D32:O32)</f>
        <v>97434</v>
      </c>
      <c r="R32" s="23" t="s">
        <v>51</v>
      </c>
    </row>
    <row r="33" spans="1:18" x14ac:dyDescent="0.2">
      <c r="C33" t="s">
        <v>21</v>
      </c>
      <c r="D33" s="67">
        <v>2770</v>
      </c>
      <c r="E33" s="36">
        <v>4200</v>
      </c>
      <c r="F33" s="36">
        <v>7610</v>
      </c>
      <c r="G33" s="36">
        <v>10020</v>
      </c>
      <c r="H33" s="36">
        <v>11041</v>
      </c>
      <c r="I33" s="36">
        <v>11652</v>
      </c>
      <c r="J33" s="36">
        <v>12131</v>
      </c>
      <c r="K33" s="36">
        <v>10404</v>
      </c>
      <c r="L33" s="36">
        <v>8255</v>
      </c>
      <c r="M33" s="36">
        <v>5443</v>
      </c>
      <c r="N33" s="36">
        <v>3088</v>
      </c>
      <c r="O33" s="36">
        <v>2281</v>
      </c>
      <c r="P33" s="21"/>
      <c r="Q33" s="23">
        <f>SUM(D33:P33)</f>
        <v>88895</v>
      </c>
      <c r="R33" s="23"/>
    </row>
    <row r="34" spans="1:18" s="68" customFormat="1" hidden="1" x14ac:dyDescent="0.2">
      <c r="B34" s="69"/>
      <c r="C34" s="68" t="s">
        <v>36</v>
      </c>
      <c r="D34" s="70">
        <f>D33*0.995</f>
        <v>2756.15</v>
      </c>
      <c r="E34" s="70">
        <f t="shared" ref="E34:O34" si="25">E33*0.995</f>
        <v>4179</v>
      </c>
      <c r="F34" s="70">
        <f t="shared" si="25"/>
        <v>7571.95</v>
      </c>
      <c r="G34" s="70">
        <f t="shared" si="25"/>
        <v>9969.9</v>
      </c>
      <c r="H34" s="70">
        <f t="shared" si="25"/>
        <v>10985.795</v>
      </c>
      <c r="I34" s="70">
        <f t="shared" si="25"/>
        <v>11593.74</v>
      </c>
      <c r="J34" s="70">
        <f t="shared" si="25"/>
        <v>12070.344999999999</v>
      </c>
      <c r="K34" s="70">
        <f t="shared" si="25"/>
        <v>10351.98</v>
      </c>
      <c r="L34" s="70">
        <f t="shared" si="25"/>
        <v>8213.7250000000004</v>
      </c>
      <c r="M34" s="70">
        <f t="shared" si="25"/>
        <v>5415.7849999999999</v>
      </c>
      <c r="N34" s="70">
        <f t="shared" si="25"/>
        <v>3072.56</v>
      </c>
      <c r="O34" s="70">
        <f t="shared" si="25"/>
        <v>2269.5949999999998</v>
      </c>
      <c r="P34" s="71"/>
      <c r="Q34" s="72"/>
      <c r="R34" s="72"/>
    </row>
    <row r="35" spans="1:18" s="7" customFormat="1" x14ac:dyDescent="0.2">
      <c r="A35" s="5"/>
      <c r="B35" s="6"/>
      <c r="C35" s="5" t="s">
        <v>16</v>
      </c>
      <c r="D35" s="28">
        <f t="shared" ref="D35:O35" si="26">D32/D33*100-100</f>
        <v>-100</v>
      </c>
      <c r="E35" s="12">
        <f t="shared" si="26"/>
        <v>-17.238095238095241</v>
      </c>
      <c r="F35" s="12">
        <f t="shared" si="26"/>
        <v>-2.7726675427069694</v>
      </c>
      <c r="G35" s="12">
        <f t="shared" si="26"/>
        <v>-1.2375249500997967</v>
      </c>
      <c r="H35" s="12">
        <f t="shared" si="26"/>
        <v>13.549497328140575</v>
      </c>
      <c r="I35" s="12">
        <f t="shared" si="26"/>
        <v>44.859251630621344</v>
      </c>
      <c r="J35" s="12">
        <f t="shared" si="26"/>
        <v>17.756161899266345</v>
      </c>
      <c r="K35" s="12">
        <f t="shared" si="26"/>
        <v>11.543637062668211</v>
      </c>
      <c r="L35" s="12">
        <f t="shared" si="26"/>
        <v>30.829800121138703</v>
      </c>
      <c r="M35" s="12">
        <f t="shared" si="26"/>
        <v>20.870843284953139</v>
      </c>
      <c r="N35" s="12">
        <f t="shared" si="26"/>
        <v>-20.919689119170982</v>
      </c>
      <c r="O35" s="12">
        <f t="shared" si="26"/>
        <v>-32.661113546690046</v>
      </c>
      <c r="P35" s="20">
        <f>Q32/(B31+B30+B29)</f>
        <v>1014.9375</v>
      </c>
      <c r="Q35" s="32"/>
      <c r="R35" s="26"/>
    </row>
    <row r="36" spans="1:18" x14ac:dyDescent="0.2">
      <c r="A36" s="7" t="s">
        <v>52</v>
      </c>
      <c r="B36" s="53">
        <v>43.05</v>
      </c>
      <c r="C36" t="s">
        <v>15</v>
      </c>
      <c r="D36" s="33"/>
      <c r="E36" s="34"/>
      <c r="F36" s="34"/>
      <c r="G36" s="34"/>
      <c r="H36" s="34"/>
      <c r="I36" s="34"/>
      <c r="J36" s="34"/>
      <c r="K36" s="34"/>
      <c r="L36" s="34"/>
      <c r="M36" s="34">
        <v>343</v>
      </c>
      <c r="N36" s="34">
        <v>1039</v>
      </c>
      <c r="O36" s="34">
        <v>589</v>
      </c>
      <c r="P36" s="21"/>
      <c r="Q36" s="23"/>
      <c r="R36" s="23"/>
    </row>
    <row r="37" spans="1:18" x14ac:dyDescent="0.2">
      <c r="A37" s="7" t="s">
        <v>53</v>
      </c>
      <c r="B37" s="1">
        <v>23.37</v>
      </c>
      <c r="C37" t="s">
        <v>15</v>
      </c>
      <c r="D37" s="33"/>
      <c r="E37" s="34"/>
      <c r="F37" s="34"/>
      <c r="G37" s="34"/>
      <c r="H37" s="34"/>
      <c r="I37" s="34"/>
      <c r="J37" s="34"/>
      <c r="K37" s="34"/>
      <c r="L37" s="34"/>
      <c r="M37" s="34">
        <v>191</v>
      </c>
      <c r="N37" s="34">
        <v>601</v>
      </c>
      <c r="O37" s="34">
        <v>342</v>
      </c>
      <c r="P37" s="21"/>
      <c r="Q37" s="23"/>
      <c r="R37" s="23"/>
    </row>
    <row r="38" spans="1:18" x14ac:dyDescent="0.2">
      <c r="C38" s="16" t="s">
        <v>17</v>
      </c>
      <c r="D38" s="29">
        <f t="shared" ref="D38:O38" si="27">SUM(D36:D37)</f>
        <v>0</v>
      </c>
      <c r="E38" s="16">
        <f t="shared" si="27"/>
        <v>0</v>
      </c>
      <c r="F38" s="16">
        <f t="shared" si="27"/>
        <v>0</v>
      </c>
      <c r="G38" s="16">
        <f t="shared" si="27"/>
        <v>0</v>
      </c>
      <c r="H38" s="16">
        <f t="shared" si="27"/>
        <v>0</v>
      </c>
      <c r="I38" s="16">
        <f t="shared" si="27"/>
        <v>0</v>
      </c>
      <c r="J38" s="16">
        <f t="shared" si="27"/>
        <v>0</v>
      </c>
      <c r="K38" s="16">
        <f t="shared" si="27"/>
        <v>0</v>
      </c>
      <c r="L38" s="16">
        <f t="shared" si="27"/>
        <v>0</v>
      </c>
      <c r="M38" s="16">
        <f t="shared" si="27"/>
        <v>534</v>
      </c>
      <c r="N38" s="16">
        <f t="shared" si="27"/>
        <v>1640</v>
      </c>
      <c r="O38" s="16">
        <f t="shared" si="27"/>
        <v>931</v>
      </c>
      <c r="P38" s="21"/>
      <c r="Q38" s="24">
        <f>SUM(D38:O38)</f>
        <v>3105</v>
      </c>
      <c r="R38" s="23" t="s">
        <v>54</v>
      </c>
    </row>
    <row r="39" spans="1:18" x14ac:dyDescent="0.2">
      <c r="C39" t="s">
        <v>21</v>
      </c>
      <c r="D39" s="67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68" customFormat="1" hidden="1" x14ac:dyDescent="0.2">
      <c r="B40" s="69"/>
      <c r="C40" s="68" t="s">
        <v>36</v>
      </c>
      <c r="D40" s="70">
        <f>D39*0.995</f>
        <v>1753.19</v>
      </c>
      <c r="E40" s="70">
        <f t="shared" ref="E40:O40" si="28">E39*0.995</f>
        <v>2759.1349999999998</v>
      </c>
      <c r="F40" s="70">
        <f t="shared" si="28"/>
        <v>5135.1949999999997</v>
      </c>
      <c r="G40" s="70">
        <f t="shared" si="28"/>
        <v>6969.9750000000004</v>
      </c>
      <c r="H40" s="70">
        <f t="shared" si="28"/>
        <v>7742.0950000000003</v>
      </c>
      <c r="I40" s="70">
        <f t="shared" si="28"/>
        <v>8299.2950000000001</v>
      </c>
      <c r="J40" s="70">
        <f t="shared" si="28"/>
        <v>8510.2350000000006</v>
      </c>
      <c r="K40" s="70">
        <f t="shared" si="28"/>
        <v>7259.5199999999995</v>
      </c>
      <c r="L40" s="70">
        <f t="shared" si="28"/>
        <v>5667.5199999999995</v>
      </c>
      <c r="M40" s="70">
        <f t="shared" si="28"/>
        <v>3683.49</v>
      </c>
      <c r="N40" s="70">
        <f t="shared" si="28"/>
        <v>2042.7349999999999</v>
      </c>
      <c r="O40" s="70">
        <f t="shared" si="28"/>
        <v>1462.65</v>
      </c>
      <c r="P40" s="71"/>
      <c r="Q40" s="72"/>
      <c r="R40" s="72"/>
    </row>
    <row r="41" spans="1:18" s="7" customFormat="1" x14ac:dyDescent="0.2">
      <c r="A41" s="5"/>
      <c r="B41" s="6"/>
      <c r="C41" s="5" t="s">
        <v>16</v>
      </c>
      <c r="D41" s="28">
        <f t="shared" ref="D41:O41" si="29">D38/D39*100-100</f>
        <v>-100</v>
      </c>
      <c r="E41" s="12">
        <f t="shared" si="29"/>
        <v>-100</v>
      </c>
      <c r="F41" s="12">
        <f t="shared" si="29"/>
        <v>-100</v>
      </c>
      <c r="G41" s="12">
        <f t="shared" si="29"/>
        <v>-100</v>
      </c>
      <c r="H41" s="12">
        <f t="shared" si="29"/>
        <v>-100</v>
      </c>
      <c r="I41" s="12">
        <f t="shared" si="29"/>
        <v>-100</v>
      </c>
      <c r="J41" s="12">
        <f t="shared" si="29"/>
        <v>-100</v>
      </c>
      <c r="K41" s="12">
        <f t="shared" si="29"/>
        <v>-100</v>
      </c>
      <c r="L41" s="12">
        <f t="shared" si="29"/>
        <v>-100</v>
      </c>
      <c r="M41" s="12">
        <f t="shared" si="29"/>
        <v>-85.575364667747166</v>
      </c>
      <c r="N41" s="12">
        <f t="shared" si="29"/>
        <v>-20.116902094495856</v>
      </c>
      <c r="O41" s="12">
        <f t="shared" si="29"/>
        <v>-36.666666666666671</v>
      </c>
      <c r="P41" s="20">
        <f>Q38/(B37+B36)</f>
        <v>46.747967479674799</v>
      </c>
      <c r="Q41" s="32"/>
      <c r="R41" s="26"/>
    </row>
    <row r="42" spans="1:18" s="7" customFormat="1" x14ac:dyDescent="0.2">
      <c r="B42" s="10"/>
      <c r="D42" s="24"/>
      <c r="P42" s="22"/>
      <c r="Q42" s="24"/>
      <c r="R42" s="24"/>
    </row>
    <row r="43" spans="1:18" s="9" customFormat="1" ht="16" x14ac:dyDescent="0.2">
      <c r="A43" s="44" t="s">
        <v>41</v>
      </c>
      <c r="B43" s="45">
        <f>SUM(B2:B33)</f>
        <v>397.22000000000008</v>
      </c>
      <c r="C43" s="46" t="s">
        <v>25</v>
      </c>
      <c r="D43" s="44">
        <f>D10+D2+D17+D25+D32</f>
        <v>1625</v>
      </c>
      <c r="E43" s="44">
        <f t="shared" ref="E43:L43" si="30">E10+E2+E17+E25+E32</f>
        <v>16626</v>
      </c>
      <c r="F43" s="44">
        <f t="shared" si="30"/>
        <v>30192</v>
      </c>
      <c r="G43" s="44">
        <f t="shared" si="30"/>
        <v>40137</v>
      </c>
      <c r="H43" s="44">
        <f t="shared" si="30"/>
        <v>50735</v>
      </c>
      <c r="I43" s="44">
        <f t="shared" si="30"/>
        <v>68371</v>
      </c>
      <c r="J43" s="44">
        <f t="shared" si="30"/>
        <v>58488</v>
      </c>
      <c r="K43" s="44">
        <f t="shared" si="30"/>
        <v>48264</v>
      </c>
      <c r="L43" s="44">
        <f t="shared" si="30"/>
        <v>44407</v>
      </c>
      <c r="M43" s="44">
        <f>M10+M2+M17+M25+M32+M38</f>
        <v>26841</v>
      </c>
      <c r="N43" s="44">
        <f>N10+N2+N17+N25+N32+N38</f>
        <v>11288</v>
      </c>
      <c r="O43" s="44">
        <f>O10+O2+O17+O25+O32+O38</f>
        <v>6947</v>
      </c>
      <c r="P43" s="47">
        <f>Q43/B43</f>
        <v>1009.0529177785608</v>
      </c>
      <c r="Q43" s="64">
        <f>Q2+Q10+Q17+Q25+Q32</f>
        <v>400816</v>
      </c>
      <c r="R43" s="48"/>
    </row>
    <row r="44" spans="1:18" ht="16" x14ac:dyDescent="0.2">
      <c r="A44" s="23"/>
      <c r="C44" s="49" t="s">
        <v>26</v>
      </c>
      <c r="D44" s="74">
        <f>D11+D3</f>
        <v>2790.9750000000004</v>
      </c>
      <c r="E44" s="74">
        <f t="shared" ref="E44:M44" si="31">E11+E3+E18+E26+E33</f>
        <v>17548.084999999999</v>
      </c>
      <c r="F44" s="74">
        <f t="shared" si="31"/>
        <v>32075.27</v>
      </c>
      <c r="G44" s="74">
        <f t="shared" si="31"/>
        <v>42572.165000000001</v>
      </c>
      <c r="H44" s="74">
        <f t="shared" si="31"/>
        <v>47093.83</v>
      </c>
      <c r="I44" s="74">
        <f t="shared" si="31"/>
        <v>49901.925000000003</v>
      </c>
      <c r="J44" s="74">
        <f t="shared" si="31"/>
        <v>51811.525000000001</v>
      </c>
      <c r="K44" s="74">
        <f t="shared" si="31"/>
        <v>44343.630000000005</v>
      </c>
      <c r="L44" s="74">
        <f t="shared" si="31"/>
        <v>34911.47</v>
      </c>
      <c r="M44" s="74">
        <f t="shared" si="31"/>
        <v>22832.36</v>
      </c>
      <c r="N44" s="74">
        <f>N11+N3+N18+N26+N33+N39</f>
        <v>14904.064999999999</v>
      </c>
      <c r="O44" s="74">
        <f>O11+O3+O18+O26+O33+O39</f>
        <v>10821.605</v>
      </c>
      <c r="P44" s="50"/>
      <c r="Q44" s="63">
        <f>SUM(D44:O44)</f>
        <v>371606.90499999997</v>
      </c>
      <c r="R44" s="51"/>
    </row>
    <row r="45" spans="1:18" x14ac:dyDescent="0.2">
      <c r="A45" s="23"/>
      <c r="B45"/>
      <c r="C45" s="14" t="s">
        <v>16</v>
      </c>
      <c r="D45" s="31">
        <f>D43/D44*100-100</f>
        <v>-41.776619281792215</v>
      </c>
      <c r="E45" s="15">
        <f t="shared" ref="E45:L45" si="32">E43/E44*100-100</f>
        <v>-5.2546189512986672</v>
      </c>
      <c r="F45" s="15">
        <f t="shared" si="32"/>
        <v>-5.8714080972662117</v>
      </c>
      <c r="G45" s="15">
        <f t="shared" si="32"/>
        <v>-5.7200872917785688</v>
      </c>
      <c r="H45" s="15">
        <f t="shared" si="32"/>
        <v>7.7317347091965019</v>
      </c>
      <c r="I45" s="15">
        <f>I43/I44*100-100</f>
        <v>37.010746579415525</v>
      </c>
      <c r="J45" s="15">
        <f t="shared" si="32"/>
        <v>12.886080847842237</v>
      </c>
      <c r="K45" s="15">
        <f t="shared" si="32"/>
        <v>8.840886503878906</v>
      </c>
      <c r="L45" s="15">
        <f t="shared" si="32"/>
        <v>27.198883346934394</v>
      </c>
      <c r="M45" s="15">
        <f>M43/M44*100-100</f>
        <v>17.55683599943238</v>
      </c>
      <c r="N45" s="15">
        <f t="shared" ref="N45:O45" si="33">N43/N44*100-100</f>
        <v>-24.262273413327165</v>
      </c>
      <c r="O45" s="15">
        <f t="shared" si="33"/>
        <v>-35.804346952231199</v>
      </c>
      <c r="P45" s="23"/>
      <c r="Q45" s="23"/>
      <c r="R45" s="52"/>
    </row>
    <row r="46" spans="1:18" x14ac:dyDescent="0.2">
      <c r="A46" s="23"/>
      <c r="B46"/>
      <c r="C46" s="77" t="s">
        <v>49</v>
      </c>
      <c r="D46" s="79">
        <f>D43/B43</f>
        <v>4.09093197724183</v>
      </c>
      <c r="E46" s="79">
        <f>E43/B43</f>
        <v>41.855898494537023</v>
      </c>
      <c r="F46" s="79">
        <f>F43/B43</f>
        <v>76.008257388852513</v>
      </c>
      <c r="G46" s="79">
        <f>G43/B43</f>
        <v>101.0447610895725</v>
      </c>
      <c r="H46" s="79">
        <f>H43/B43</f>
        <v>127.72519007099338</v>
      </c>
      <c r="I46" s="79">
        <f>I43/B43</f>
        <v>172.12376013292379</v>
      </c>
      <c r="J46" s="79">
        <f>J43/B43</f>
        <v>147.24334122148932</v>
      </c>
      <c r="K46" s="79">
        <f>K43/B43</f>
        <v>121.50445596898442</v>
      </c>
      <c r="L46" s="79">
        <f>L43/B43</f>
        <v>111.79447157746334</v>
      </c>
      <c r="M46" s="79">
        <f>M43/B43</f>
        <v>67.572126277629508</v>
      </c>
      <c r="N46" s="79">
        <f>N43/B43</f>
        <v>28.417501636372783</v>
      </c>
      <c r="O46" s="79">
        <f>O43/B43</f>
        <v>17.489048889783994</v>
      </c>
      <c r="P46" s="23"/>
      <c r="Q46" s="23"/>
      <c r="R46" s="52"/>
    </row>
    <row r="47" spans="1:18" x14ac:dyDescent="0.2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1820/B47</f>
        <v>41.867954911433173</v>
      </c>
      <c r="F47" s="41">
        <f>2740/B47</f>
        <v>63.031976075454338</v>
      </c>
      <c r="G47" s="41">
        <f>3710/B47</f>
        <v>85.346215780998392</v>
      </c>
      <c r="H47" s="41">
        <f>4600/B47</f>
        <v>105.82010582010582</v>
      </c>
      <c r="I47" s="41">
        <f>6200/B47</f>
        <v>142.62709914883828</v>
      </c>
      <c r="J47" s="41">
        <f>5330/B47</f>
        <v>122.61329652634001</v>
      </c>
      <c r="K47" s="41">
        <f>4440/B47</f>
        <v>102.13940648723258</v>
      </c>
      <c r="L47" s="41">
        <f>3890/B47</f>
        <v>89.487002530480794</v>
      </c>
      <c r="M47" s="41">
        <f>2230/B47</f>
        <v>51.299746951920866</v>
      </c>
      <c r="N47" s="41">
        <f>834/B47</f>
        <v>19.185645272601796</v>
      </c>
      <c r="O47" s="41">
        <f>504/B47</f>
        <v>11.594202898550725</v>
      </c>
      <c r="P47" s="43">
        <f>Q47/B47</f>
        <v>850.24154589371983</v>
      </c>
      <c r="Q47" s="65">
        <v>36960</v>
      </c>
      <c r="R47" s="52"/>
    </row>
    <row r="48" spans="1:18" x14ac:dyDescent="0.2">
      <c r="A48" s="23"/>
      <c r="B48"/>
      <c r="C48" s="38" t="s">
        <v>18</v>
      </c>
      <c r="D48" s="83">
        <v>24.552</v>
      </c>
      <c r="E48" s="81">
        <v>60.48</v>
      </c>
      <c r="F48" s="81">
        <v>84.072000000000003</v>
      </c>
      <c r="G48" s="81">
        <v>111.6</v>
      </c>
      <c r="H48" s="81">
        <v>149.54400000000001</v>
      </c>
      <c r="I48" s="81">
        <v>218.88</v>
      </c>
      <c r="J48" s="88">
        <v>180</v>
      </c>
      <c r="K48" s="88">
        <v>152</v>
      </c>
      <c r="L48" s="88">
        <v>136</v>
      </c>
      <c r="M48" s="88">
        <v>79</v>
      </c>
      <c r="N48" s="88">
        <v>28</v>
      </c>
      <c r="O48" s="88">
        <v>24</v>
      </c>
      <c r="P48" s="23"/>
      <c r="Q48" s="82">
        <f>SUM(D48:P48)</f>
        <v>1248.1279999999999</v>
      </c>
    </row>
    <row r="49" spans="1:18" x14ac:dyDescent="0.2">
      <c r="A49" s="54"/>
      <c r="B49" s="55"/>
      <c r="C49" s="56" t="s">
        <v>19</v>
      </c>
      <c r="D49" s="57">
        <v>37</v>
      </c>
      <c r="E49" s="58">
        <v>125</v>
      </c>
      <c r="F49" s="58">
        <v>117</v>
      </c>
      <c r="G49" s="58">
        <v>120</v>
      </c>
      <c r="H49" s="58">
        <v>165</v>
      </c>
      <c r="I49" s="58">
        <v>319</v>
      </c>
      <c r="J49" s="58">
        <v>231</v>
      </c>
      <c r="K49" s="58">
        <v>216</v>
      </c>
      <c r="L49" s="58">
        <v>251</v>
      </c>
      <c r="M49" s="58">
        <v>151</v>
      </c>
      <c r="N49" s="58">
        <v>39</v>
      </c>
      <c r="O49" s="55">
        <v>47</v>
      </c>
      <c r="P49" s="54"/>
      <c r="Q49" s="54">
        <f>SUM(D49:P49)</f>
        <v>1818</v>
      </c>
      <c r="R49" s="59"/>
    </row>
    <row r="50" spans="1:18" x14ac:dyDescent="0.2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6" x14ac:dyDescent="0.2">
      <c r="A51" s="17" t="s">
        <v>22</v>
      </c>
      <c r="B51" s="37" t="s">
        <v>24</v>
      </c>
    </row>
    <row r="53" spans="1:18" x14ac:dyDescent="0.2">
      <c r="A53" s="76"/>
    </row>
    <row r="54" spans="1:18" x14ac:dyDescent="0.2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8" x14ac:dyDescent="0.2">
      <c r="A55" s="76"/>
    </row>
    <row r="56" spans="1:18" x14ac:dyDescent="0.2">
      <c r="A56" s="76"/>
    </row>
    <row r="57" spans="1:18" x14ac:dyDescent="0.2">
      <c r="A57" s="76"/>
    </row>
    <row r="58" spans="1:18" x14ac:dyDescent="0.2">
      <c r="A58" s="76"/>
    </row>
    <row r="59" spans="1:18" x14ac:dyDescent="0.2">
      <c r="A59" s="76"/>
    </row>
    <row r="60" spans="1:18" x14ac:dyDescent="0.2">
      <c r="A60" s="76"/>
    </row>
    <row r="61" spans="1:18" x14ac:dyDescent="0.2">
      <c r="A61" s="76"/>
    </row>
    <row r="62" spans="1:18" x14ac:dyDescent="0.2">
      <c r="A62" s="76"/>
    </row>
    <row r="63" spans="1:18" x14ac:dyDescent="0.2">
      <c r="A63" s="76"/>
    </row>
    <row r="64" spans="1:18" x14ac:dyDescent="0.2">
      <c r="A64" s="76"/>
    </row>
    <row r="65" spans="1:1" x14ac:dyDescent="0.2">
      <c r="A65" s="76"/>
    </row>
    <row r="66" spans="1:1" x14ac:dyDescent="0.2">
      <c r="A66" s="76"/>
    </row>
    <row r="67" spans="1:1" x14ac:dyDescent="0.2">
      <c r="A67" s="76"/>
    </row>
  </sheetData>
  <hyperlinks>
    <hyperlink ref="C49" r:id="rId1" xr:uid="{FAF3043D-CB6A-4DE3-84AF-63A87A1A856E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2793-D12B-4A95-AE64-6FB47BC8E189}">
  <dimension ref="A1:R23"/>
  <sheetViews>
    <sheetView zoomScaleNormal="100" zoomScalePageLayoutView="70" workbookViewId="0">
      <selection activeCell="D13" sqref="D13"/>
    </sheetView>
  </sheetViews>
  <sheetFormatPr baseColWidth="10" defaultRowHeight="15" x14ac:dyDescent="0.2"/>
  <cols>
    <col min="1" max="1" width="19.5" bestFit="1" customWidth="1"/>
    <col min="2" max="2" width="9.5" style="1" customWidth="1"/>
    <col min="3" max="3" width="24" bestFit="1" customWidth="1"/>
    <col min="4" max="15" width="11.5" customWidth="1"/>
    <col min="16" max="16" width="18.5" style="4" bestFit="1" customWidth="1"/>
    <col min="17" max="17" width="10.83203125" customWidth="1"/>
    <col min="18" max="18" width="27.1640625" bestFit="1" customWidth="1"/>
  </cols>
  <sheetData>
    <row r="1" spans="1:18" ht="29.25" customHeight="1" x14ac:dyDescent="0.2">
      <c r="A1" s="2"/>
      <c r="B1" s="3" t="s">
        <v>20</v>
      </c>
      <c r="C1" s="13" t="s">
        <v>23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">
      <c r="A2" s="7" t="s">
        <v>31</v>
      </c>
      <c r="B2" s="1">
        <v>45.14</v>
      </c>
      <c r="C2" t="s">
        <v>15</v>
      </c>
      <c r="D2" s="33"/>
      <c r="E2" s="34"/>
      <c r="F2" s="34">
        <v>2142</v>
      </c>
      <c r="G2" s="34">
        <v>5667</v>
      </c>
      <c r="H2" s="34">
        <v>7103</v>
      </c>
      <c r="I2" s="34">
        <v>7342</v>
      </c>
      <c r="J2" s="34">
        <v>8185</v>
      </c>
      <c r="K2" s="34">
        <v>6787</v>
      </c>
      <c r="L2" s="34">
        <v>4234</v>
      </c>
      <c r="M2" s="34">
        <v>2837</v>
      </c>
      <c r="N2" s="34">
        <v>1434</v>
      </c>
      <c r="O2" s="34">
        <v>508</v>
      </c>
      <c r="P2" s="19"/>
      <c r="Q2" s="24">
        <f>SUM(D2:O2)</f>
        <v>46239</v>
      </c>
      <c r="R2" s="23"/>
    </row>
    <row r="3" spans="1:18" x14ac:dyDescent="0.2">
      <c r="C3" t="s">
        <v>21</v>
      </c>
      <c r="D3" s="23">
        <v>1337</v>
      </c>
      <c r="E3">
        <v>2071</v>
      </c>
      <c r="F3">
        <v>3818</v>
      </c>
      <c r="G3">
        <v>5111</v>
      </c>
      <c r="H3">
        <v>5674</v>
      </c>
      <c r="I3">
        <v>6031</v>
      </c>
      <c r="J3">
        <v>6259</v>
      </c>
      <c r="K3">
        <v>5338</v>
      </c>
      <c r="L3">
        <v>4166</v>
      </c>
      <c r="M3">
        <v>2700</v>
      </c>
      <c r="N3">
        <v>1511</v>
      </c>
      <c r="O3">
        <v>1087</v>
      </c>
      <c r="P3" s="19"/>
      <c r="Q3" s="23">
        <f>SUM(D3:P3)</f>
        <v>45103</v>
      </c>
      <c r="R3" s="23"/>
    </row>
    <row r="4" spans="1:18" s="7" customFormat="1" x14ac:dyDescent="0.2">
      <c r="A4" s="5"/>
      <c r="B4" s="6"/>
      <c r="C4" s="5" t="s">
        <v>16</v>
      </c>
      <c r="D4" s="28">
        <f t="shared" ref="D4:H4" si="0">D2/D3*100-100</f>
        <v>-100</v>
      </c>
      <c r="E4" s="12">
        <f t="shared" si="0"/>
        <v>-100</v>
      </c>
      <c r="F4" s="12">
        <f t="shared" si="0"/>
        <v>-43.897328444211624</v>
      </c>
      <c r="G4" s="12">
        <f t="shared" si="0"/>
        <v>10.878497358638242</v>
      </c>
      <c r="H4" s="12">
        <f t="shared" si="0"/>
        <v>25.185054635177991</v>
      </c>
      <c r="I4" s="12">
        <f>I2/I3*100-100</f>
        <v>21.737688608854256</v>
      </c>
      <c r="J4" s="12">
        <f t="shared" ref="J4:O4" si="1">J2/J3*100-100</f>
        <v>30.771688768173817</v>
      </c>
      <c r="K4" s="12">
        <f t="shared" si="1"/>
        <v>27.144998126639194</v>
      </c>
      <c r="L4" s="12">
        <f t="shared" si="1"/>
        <v>1.6322611617858769</v>
      </c>
      <c r="M4" s="12">
        <f t="shared" si="1"/>
        <v>5.0740740740740762</v>
      </c>
      <c r="N4" s="12">
        <f t="shared" si="1"/>
        <v>-5.0959629384513647</v>
      </c>
      <c r="O4" s="12">
        <f t="shared" si="1"/>
        <v>-53.265869365225392</v>
      </c>
      <c r="P4" s="20">
        <f>Q2/B2</f>
        <v>1024.3464776251662</v>
      </c>
      <c r="Q4" s="32"/>
      <c r="R4" s="26"/>
    </row>
    <row r="5" spans="1:18" x14ac:dyDescent="0.2">
      <c r="A5" s="7" t="s">
        <v>27</v>
      </c>
      <c r="B5" s="1">
        <v>13.32</v>
      </c>
      <c r="C5" t="s">
        <v>15</v>
      </c>
      <c r="D5" s="33"/>
      <c r="E5" s="34"/>
      <c r="F5" s="34">
        <v>620</v>
      </c>
      <c r="G5" s="34">
        <v>1642</v>
      </c>
      <c r="H5" s="34">
        <v>2078</v>
      </c>
      <c r="I5" s="34">
        <v>2161</v>
      </c>
      <c r="J5" s="34">
        <v>2404</v>
      </c>
      <c r="K5" s="34">
        <v>1978</v>
      </c>
      <c r="L5" s="34">
        <v>1208</v>
      </c>
      <c r="M5" s="34">
        <v>795</v>
      </c>
      <c r="N5" s="34">
        <v>377</v>
      </c>
      <c r="O5" s="34">
        <v>122</v>
      </c>
      <c r="P5" s="21"/>
      <c r="Q5" s="23"/>
      <c r="R5" s="23"/>
    </row>
    <row r="6" spans="1:18" x14ac:dyDescent="0.2">
      <c r="A6" s="7" t="s">
        <v>28</v>
      </c>
      <c r="B6" s="1">
        <v>13.32</v>
      </c>
      <c r="C6" t="s">
        <v>15</v>
      </c>
      <c r="D6" s="33"/>
      <c r="E6" s="34"/>
      <c r="F6" s="34">
        <v>615</v>
      </c>
      <c r="G6" s="34">
        <v>1647</v>
      </c>
      <c r="H6" s="34">
        <v>1915</v>
      </c>
      <c r="I6" s="34">
        <v>2168</v>
      </c>
      <c r="J6" s="34">
        <v>2411</v>
      </c>
      <c r="K6" s="34">
        <v>1988</v>
      </c>
      <c r="L6" s="34">
        <v>1222</v>
      </c>
      <c r="M6" s="34">
        <v>804</v>
      </c>
      <c r="N6" s="34">
        <v>393</v>
      </c>
      <c r="O6" s="34">
        <v>134</v>
      </c>
      <c r="P6" s="21"/>
      <c r="Q6" s="23"/>
      <c r="R6" s="23"/>
    </row>
    <row r="7" spans="1:18" x14ac:dyDescent="0.2">
      <c r="A7" s="7" t="s">
        <v>29</v>
      </c>
      <c r="B7" s="1">
        <v>13.32</v>
      </c>
      <c r="C7" t="s">
        <v>15</v>
      </c>
      <c r="D7" s="33"/>
      <c r="E7" s="34"/>
      <c r="F7" s="34">
        <v>613</v>
      </c>
      <c r="G7" s="34">
        <v>1646</v>
      </c>
      <c r="H7" s="34">
        <v>2092</v>
      </c>
      <c r="I7" s="34">
        <v>2176</v>
      </c>
      <c r="J7" s="34">
        <v>2421</v>
      </c>
      <c r="K7" s="34">
        <v>1995</v>
      </c>
      <c r="L7" s="34">
        <v>1232</v>
      </c>
      <c r="M7" s="34">
        <v>815</v>
      </c>
      <c r="N7" s="34">
        <v>400</v>
      </c>
      <c r="O7" s="34">
        <v>139</v>
      </c>
      <c r="P7" s="21"/>
      <c r="Q7" s="23"/>
      <c r="R7" s="23"/>
    </row>
    <row r="8" spans="1:18" x14ac:dyDescent="0.2">
      <c r="A8" s="7" t="s">
        <v>30</v>
      </c>
      <c r="B8" s="1">
        <v>13.32</v>
      </c>
      <c r="C8" t="s">
        <v>15</v>
      </c>
      <c r="D8" s="33"/>
      <c r="E8" s="34"/>
      <c r="F8" s="34">
        <v>617</v>
      </c>
      <c r="G8" s="34">
        <v>1654</v>
      </c>
      <c r="H8" s="34">
        <v>2074</v>
      </c>
      <c r="I8" s="34">
        <v>2157</v>
      </c>
      <c r="J8" s="34">
        <v>2402</v>
      </c>
      <c r="K8" s="34">
        <v>1979</v>
      </c>
      <c r="L8" s="34">
        <v>1019</v>
      </c>
      <c r="M8" s="34">
        <v>803</v>
      </c>
      <c r="N8" s="34">
        <v>397</v>
      </c>
      <c r="O8" s="34">
        <v>137</v>
      </c>
      <c r="P8" s="21"/>
      <c r="Q8" s="23"/>
      <c r="R8" s="23" t="s">
        <v>35</v>
      </c>
    </row>
    <row r="9" spans="1:18" x14ac:dyDescent="0.2">
      <c r="C9" s="16" t="s">
        <v>17</v>
      </c>
      <c r="D9" s="29">
        <f t="shared" ref="D9:H9" si="2">SUM(D5:D8)</f>
        <v>0</v>
      </c>
      <c r="E9" s="16">
        <f t="shared" si="2"/>
        <v>0</v>
      </c>
      <c r="F9" s="16">
        <f t="shared" si="2"/>
        <v>2465</v>
      </c>
      <c r="G9" s="16">
        <f t="shared" si="2"/>
        <v>6589</v>
      </c>
      <c r="H9" s="16">
        <f t="shared" si="2"/>
        <v>8159</v>
      </c>
      <c r="I9" s="16">
        <f>SUM(I5:I8)</f>
        <v>8662</v>
      </c>
      <c r="J9" s="16">
        <f t="shared" ref="J9:O9" si="3">SUM(J5:J8)</f>
        <v>9638</v>
      </c>
      <c r="K9" s="16">
        <f t="shared" si="3"/>
        <v>7940</v>
      </c>
      <c r="L9" s="16">
        <f t="shared" si="3"/>
        <v>4681</v>
      </c>
      <c r="M9" s="16">
        <f t="shared" si="3"/>
        <v>3217</v>
      </c>
      <c r="N9" s="16">
        <f t="shared" si="3"/>
        <v>1567</v>
      </c>
      <c r="O9" s="16">
        <f t="shared" si="3"/>
        <v>532</v>
      </c>
      <c r="P9" s="21"/>
      <c r="Q9" s="24">
        <f>SUM(D9:O9)</f>
        <v>53450</v>
      </c>
      <c r="R9" s="23"/>
    </row>
    <row r="10" spans="1:18" x14ac:dyDescent="0.2">
      <c r="C10" t="s">
        <v>21</v>
      </c>
      <c r="D10" s="23">
        <v>1468</v>
      </c>
      <c r="E10">
        <v>2312</v>
      </c>
      <c r="F10">
        <v>4328</v>
      </c>
      <c r="G10">
        <v>5856</v>
      </c>
      <c r="H10">
        <v>6560</v>
      </c>
      <c r="I10">
        <v>6984</v>
      </c>
      <c r="J10">
        <v>7236</v>
      </c>
      <c r="K10">
        <v>6136</v>
      </c>
      <c r="L10">
        <v>4740</v>
      </c>
      <c r="M10">
        <v>3028</v>
      </c>
      <c r="N10">
        <v>1676</v>
      </c>
      <c r="O10">
        <v>1192</v>
      </c>
      <c r="P10" s="21"/>
      <c r="Q10" s="23">
        <f>SUM(D10:P10)</f>
        <v>51516</v>
      </c>
      <c r="R10" s="23"/>
    </row>
    <row r="11" spans="1:18" s="7" customFormat="1" x14ac:dyDescent="0.2">
      <c r="A11" s="5"/>
      <c r="B11" s="6"/>
      <c r="C11" s="5" t="s">
        <v>16</v>
      </c>
      <c r="D11" s="28">
        <f t="shared" ref="D11:H11" si="4">D9/D10*100-100</f>
        <v>-100</v>
      </c>
      <c r="E11" s="12">
        <f t="shared" si="4"/>
        <v>-100</v>
      </c>
      <c r="F11" s="12">
        <f t="shared" si="4"/>
        <v>-43.045286506469502</v>
      </c>
      <c r="G11" s="12">
        <f t="shared" si="4"/>
        <v>12.517076502732237</v>
      </c>
      <c r="H11" s="12">
        <f t="shared" si="4"/>
        <v>24.374999999999986</v>
      </c>
      <c r="I11" s="12">
        <f>I9/I10*100-100</f>
        <v>24.026345933562425</v>
      </c>
      <c r="J11" s="12">
        <f t="shared" ref="J11:O11" si="5">J9/J10*100-100</f>
        <v>33.195135433941402</v>
      </c>
      <c r="K11" s="12">
        <f t="shared" si="5"/>
        <v>29.400260756192949</v>
      </c>
      <c r="L11" s="12">
        <f t="shared" si="5"/>
        <v>-1.2447257383966246</v>
      </c>
      <c r="M11" s="12">
        <f t="shared" si="5"/>
        <v>6.2417437252311885</v>
      </c>
      <c r="N11" s="12">
        <f t="shared" si="5"/>
        <v>-6.5035799522673017</v>
      </c>
      <c r="O11" s="12">
        <f t="shared" si="5"/>
        <v>-55.369127516778519</v>
      </c>
      <c r="P11" s="20">
        <f>Q9/(B8+B7+B6+B5)</f>
        <v>1003.1906906906906</v>
      </c>
      <c r="Q11" s="32"/>
      <c r="R11" s="26"/>
    </row>
    <row r="12" spans="1:18" s="7" customFormat="1" x14ac:dyDescent="0.2">
      <c r="B12" s="10"/>
      <c r="D12" s="24"/>
      <c r="P12" s="22"/>
      <c r="Q12" s="24"/>
      <c r="R12" s="24"/>
    </row>
    <row r="13" spans="1:18" s="9" customFormat="1" ht="16" x14ac:dyDescent="0.2">
      <c r="A13" s="44" t="s">
        <v>34</v>
      </c>
      <c r="B13" s="45">
        <f>SUM(B2:B11)</f>
        <v>98.419999999999987</v>
      </c>
      <c r="C13" s="46" t="s">
        <v>25</v>
      </c>
      <c r="D13" s="44">
        <f>D9+D2</f>
        <v>0</v>
      </c>
      <c r="E13" s="44">
        <f t="shared" ref="E13:O13" si="6">E9+E2</f>
        <v>0</v>
      </c>
      <c r="F13" s="44">
        <f t="shared" si="6"/>
        <v>4607</v>
      </c>
      <c r="G13" s="44">
        <f>G9+G2</f>
        <v>12256</v>
      </c>
      <c r="H13" s="44">
        <f t="shared" si="6"/>
        <v>15262</v>
      </c>
      <c r="I13" s="44">
        <f t="shared" si="6"/>
        <v>16004</v>
      </c>
      <c r="J13" s="44">
        <f t="shared" si="6"/>
        <v>17823</v>
      </c>
      <c r="K13" s="44">
        <f t="shared" si="6"/>
        <v>14727</v>
      </c>
      <c r="L13" s="44">
        <f t="shared" si="6"/>
        <v>8915</v>
      </c>
      <c r="M13" s="44">
        <f t="shared" si="6"/>
        <v>6054</v>
      </c>
      <c r="N13" s="44">
        <f t="shared" si="6"/>
        <v>3001</v>
      </c>
      <c r="O13" s="44">
        <f t="shared" si="6"/>
        <v>1040</v>
      </c>
      <c r="P13" s="47">
        <f>Q13/B13</f>
        <v>1012.8937207884578</v>
      </c>
      <c r="Q13" s="64">
        <f>Q2+Q9</f>
        <v>99689</v>
      </c>
      <c r="R13" s="48"/>
    </row>
    <row r="14" spans="1:18" ht="16" x14ac:dyDescent="0.2">
      <c r="A14" s="23"/>
      <c r="C14" s="49" t="s">
        <v>26</v>
      </c>
      <c r="D14" s="30">
        <f>D10+D3</f>
        <v>2805</v>
      </c>
      <c r="E14" s="30">
        <f t="shared" ref="E14:N14" si="7">E10+E3</f>
        <v>4383</v>
      </c>
      <c r="F14" s="30">
        <f t="shared" si="7"/>
        <v>8146</v>
      </c>
      <c r="G14" s="30">
        <f t="shared" si="7"/>
        <v>10967</v>
      </c>
      <c r="H14" s="30">
        <f t="shared" si="7"/>
        <v>12234</v>
      </c>
      <c r="I14" s="30">
        <f t="shared" si="7"/>
        <v>13015</v>
      </c>
      <c r="J14" s="30">
        <f t="shared" si="7"/>
        <v>13495</v>
      </c>
      <c r="K14" s="30">
        <f t="shared" si="7"/>
        <v>11474</v>
      </c>
      <c r="L14" s="30">
        <f t="shared" si="7"/>
        <v>8906</v>
      </c>
      <c r="M14" s="30">
        <f t="shared" si="7"/>
        <v>5728</v>
      </c>
      <c r="N14" s="30">
        <f t="shared" si="7"/>
        <v>3187</v>
      </c>
      <c r="O14" s="30">
        <f>O10+O3</f>
        <v>2279</v>
      </c>
      <c r="P14" s="50"/>
      <c r="Q14" s="63">
        <f>SUM(D14:O14)</f>
        <v>96619</v>
      </c>
      <c r="R14" s="51"/>
    </row>
    <row r="15" spans="1:18" x14ac:dyDescent="0.2">
      <c r="A15" s="23"/>
      <c r="B15"/>
      <c r="C15" s="14" t="s">
        <v>16</v>
      </c>
      <c r="D15" s="31">
        <f>D13/D14*100-100</f>
        <v>-100</v>
      </c>
      <c r="E15" s="15">
        <f t="shared" ref="E15:L15" si="8">E13/E14*100-100</f>
        <v>-100</v>
      </c>
      <c r="F15" s="15">
        <f t="shared" si="8"/>
        <v>-43.444635403879204</v>
      </c>
      <c r="G15" s="15">
        <f t="shared" si="8"/>
        <v>11.753442144615661</v>
      </c>
      <c r="H15" s="15">
        <f t="shared" si="8"/>
        <v>24.750694785025345</v>
      </c>
      <c r="I15" s="15">
        <f>I13/I14*100-100</f>
        <v>22.965808682289662</v>
      </c>
      <c r="J15" s="15">
        <f t="shared" si="8"/>
        <v>32.071137458317878</v>
      </c>
      <c r="K15" s="15">
        <f t="shared" si="8"/>
        <v>28.351054558131437</v>
      </c>
      <c r="L15" s="15">
        <f t="shared" si="8"/>
        <v>0.10105546822367728</v>
      </c>
      <c r="M15" s="15">
        <f>M13/M14*100-100</f>
        <v>5.691340782122893</v>
      </c>
      <c r="N15" s="15">
        <f t="shared" ref="N15:O15" si="9">N13/N14*100-100</f>
        <v>-5.8362096015061127</v>
      </c>
      <c r="O15" s="15">
        <f t="shared" si="9"/>
        <v>-54.365949978060549</v>
      </c>
      <c r="P15" s="23"/>
      <c r="Q15" s="23"/>
      <c r="R15" s="52"/>
    </row>
    <row r="16" spans="1:18" x14ac:dyDescent="0.2">
      <c r="A16" s="23" t="s">
        <v>32</v>
      </c>
      <c r="B16" s="53">
        <v>43.47</v>
      </c>
      <c r="C16" s="39" t="s">
        <v>33</v>
      </c>
      <c r="D16" s="40"/>
      <c r="E16" s="41"/>
      <c r="F16" s="41">
        <v>4130</v>
      </c>
      <c r="G16" s="41">
        <v>4730</v>
      </c>
      <c r="H16" s="41">
        <v>6040</v>
      </c>
      <c r="I16" s="42">
        <v>6290</v>
      </c>
      <c r="J16" s="42">
        <v>6990</v>
      </c>
      <c r="K16" s="42">
        <v>5770</v>
      </c>
      <c r="L16" s="42">
        <v>3560</v>
      </c>
      <c r="M16" s="42">
        <v>2260</v>
      </c>
      <c r="N16" s="42">
        <v>1140</v>
      </c>
      <c r="O16" s="42">
        <v>393</v>
      </c>
      <c r="P16" s="43">
        <f>Q16/B16</f>
        <v>950.14952841039803</v>
      </c>
      <c r="Q16" s="65">
        <f>SUM(D16:O16)</f>
        <v>41303</v>
      </c>
      <c r="R16" s="52"/>
    </row>
    <row r="17" spans="1:18" x14ac:dyDescent="0.2">
      <c r="A17" s="23"/>
      <c r="B17"/>
      <c r="C17" s="38" t="s">
        <v>18</v>
      </c>
      <c r="D17" s="29">
        <v>40</v>
      </c>
      <c r="E17" s="16">
        <v>60</v>
      </c>
      <c r="F17" s="16">
        <v>127</v>
      </c>
      <c r="G17" s="16">
        <v>143</v>
      </c>
      <c r="H17" s="16">
        <v>180</v>
      </c>
      <c r="I17" s="16">
        <v>189</v>
      </c>
      <c r="J17" s="80">
        <v>213.52799999999999</v>
      </c>
      <c r="K17" s="81">
        <v>175.584</v>
      </c>
      <c r="L17" s="81">
        <v>104.4</v>
      </c>
      <c r="M17" s="81">
        <v>72.912000000000006</v>
      </c>
      <c r="N17" s="81">
        <v>35.28</v>
      </c>
      <c r="O17" s="81">
        <v>21.576000000000001</v>
      </c>
      <c r="P17" s="23"/>
      <c r="Q17" s="23"/>
      <c r="R17" s="82">
        <f>SUM(D17:Q17)</f>
        <v>1362.2800000000002</v>
      </c>
    </row>
    <row r="18" spans="1:18" x14ac:dyDescent="0.2">
      <c r="A18" s="54"/>
      <c r="B18" s="55"/>
      <c r="C18" s="56" t="s">
        <v>19</v>
      </c>
      <c r="D18" s="57">
        <v>104</v>
      </c>
      <c r="E18" s="58">
        <v>125</v>
      </c>
      <c r="F18" s="58">
        <v>252</v>
      </c>
      <c r="G18" s="58">
        <v>204</v>
      </c>
      <c r="H18" s="58">
        <v>229</v>
      </c>
      <c r="I18" s="58">
        <v>257</v>
      </c>
      <c r="J18" s="58">
        <v>316</v>
      </c>
      <c r="K18" s="58">
        <v>282</v>
      </c>
      <c r="L18" s="58">
        <v>151</v>
      </c>
      <c r="M18" s="58">
        <v>112</v>
      </c>
      <c r="N18" s="58">
        <v>53</v>
      </c>
      <c r="O18" s="55">
        <v>35</v>
      </c>
      <c r="P18" s="54"/>
      <c r="Q18" s="54">
        <f>SUM(D18:P18)</f>
        <v>2120</v>
      </c>
      <c r="R18" s="59"/>
    </row>
    <row r="19" spans="1:18" x14ac:dyDescent="0.2">
      <c r="B19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/>
    </row>
    <row r="20" spans="1:18" s="9" customFormat="1" ht="16" x14ac:dyDescent="0.2">
      <c r="A20" s="17" t="s">
        <v>22</v>
      </c>
      <c r="B20" s="37" t="s">
        <v>24</v>
      </c>
    </row>
    <row r="22" spans="1:18" x14ac:dyDescent="0.2">
      <c r="A22" s="8"/>
    </row>
    <row r="23" spans="1:18" x14ac:dyDescent="0.2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hyperlinks>
    <hyperlink ref="C18" r:id="rId1" xr:uid="{63AF87F2-391D-4FAA-9DCC-026E88C6AB56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F8D2-8829-4D72-B345-F70C3C5EF784}">
  <dimension ref="A1:P24"/>
  <sheetViews>
    <sheetView tabSelected="1" topLeftCell="A39" zoomScale="230" zoomScaleNormal="230" workbookViewId="0">
      <selection activeCell="C56" sqref="C56"/>
    </sheetView>
  </sheetViews>
  <sheetFormatPr baseColWidth="10" defaultRowHeight="15" x14ac:dyDescent="0.2"/>
  <cols>
    <col min="1" max="1" width="28.5" bestFit="1" customWidth="1"/>
    <col min="2" max="2" width="15.5" style="1" bestFit="1" customWidth="1"/>
    <col min="3" max="4" width="12.5" bestFit="1" customWidth="1"/>
    <col min="16" max="16" width="18.5" style="4" bestFit="1" customWidth="1"/>
    <col min="18" max="18" width="31.6640625" bestFit="1" customWidth="1"/>
  </cols>
  <sheetData>
    <row r="1" spans="1:16" s="7" customFormat="1" x14ac:dyDescent="0.2">
      <c r="B1" s="10"/>
      <c r="P1" s="61"/>
    </row>
    <row r="2" spans="1:16" ht="20" x14ac:dyDescent="0.2">
      <c r="A2" s="13" t="s">
        <v>23</v>
      </c>
      <c r="B2" s="27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5" t="s">
        <v>55</v>
      </c>
      <c r="P2" s="62"/>
    </row>
    <row r="3" spans="1:16" x14ac:dyDescent="0.2">
      <c r="A3" t="s">
        <v>61</v>
      </c>
      <c r="B3" s="1">
        <f>'2022'!D13</f>
        <v>0</v>
      </c>
      <c r="C3" s="1">
        <f>'2022'!E13</f>
        <v>0</v>
      </c>
      <c r="D3" s="1">
        <f>'2022'!F13</f>
        <v>4607</v>
      </c>
      <c r="E3" s="1">
        <f>'2022'!G13</f>
        <v>12256</v>
      </c>
      <c r="F3" s="1">
        <f>'2022'!H13</f>
        <v>15262</v>
      </c>
      <c r="G3" s="1">
        <f>'2022'!I13</f>
        <v>16004</v>
      </c>
      <c r="H3" s="1">
        <f>'2022'!J13</f>
        <v>17823</v>
      </c>
      <c r="I3" s="1">
        <f>'2022'!K13</f>
        <v>14727</v>
      </c>
      <c r="J3" s="1">
        <f>'2022'!L13</f>
        <v>8915</v>
      </c>
      <c r="K3" s="1">
        <f>'2022'!M13</f>
        <v>6054</v>
      </c>
      <c r="L3" s="1">
        <f>'2022'!N13</f>
        <v>3001</v>
      </c>
      <c r="M3" s="1">
        <f>'2022'!O13</f>
        <v>1040</v>
      </c>
      <c r="N3" s="23">
        <f>SUM(B3:M3)</f>
        <v>99689</v>
      </c>
      <c r="P3" s="62"/>
    </row>
    <row r="4" spans="1:16" s="7" customFormat="1" x14ac:dyDescent="0.2">
      <c r="A4" t="s">
        <v>60</v>
      </c>
      <c r="B4" s="84">
        <f>'2023'!D39</f>
        <v>1762</v>
      </c>
      <c r="C4" s="84">
        <f>'2023'!E39</f>
        <v>2773</v>
      </c>
      <c r="D4" s="84">
        <f>'2023'!F39</f>
        <v>5161</v>
      </c>
      <c r="E4" s="84">
        <f>'2023'!G39</f>
        <v>7005</v>
      </c>
      <c r="F4" s="84">
        <f>'2023'!H39</f>
        <v>7781</v>
      </c>
      <c r="G4" s="84">
        <f>'2023'!I39</f>
        <v>8341</v>
      </c>
      <c r="H4" s="84">
        <f>'2023'!J39</f>
        <v>8553</v>
      </c>
      <c r="I4" s="84">
        <f>'2023'!K39</f>
        <v>7296</v>
      </c>
      <c r="J4" s="84">
        <f>'2023'!L39</f>
        <v>5696</v>
      </c>
      <c r="K4" s="84">
        <f>'2023'!M39</f>
        <v>3702</v>
      </c>
      <c r="L4" s="84">
        <f>'2023'!N39</f>
        <v>2053</v>
      </c>
      <c r="M4" s="84">
        <f>'2023'!O39</f>
        <v>1470</v>
      </c>
      <c r="N4" s="23"/>
      <c r="P4" s="61"/>
    </row>
    <row r="5" spans="1:16" x14ac:dyDescent="0.2">
      <c r="A5" t="s">
        <v>59</v>
      </c>
      <c r="B5" s="1">
        <f>'2022'!D18</f>
        <v>104</v>
      </c>
      <c r="C5" s="1">
        <f>'2022'!E18</f>
        <v>125</v>
      </c>
      <c r="D5" s="1">
        <f>'2022'!F18</f>
        <v>252</v>
      </c>
      <c r="E5" s="1">
        <f>'2022'!G18</f>
        <v>204</v>
      </c>
      <c r="F5" s="1">
        <f>'2022'!H18</f>
        <v>229</v>
      </c>
      <c r="G5" s="1">
        <f>'2022'!I18</f>
        <v>257</v>
      </c>
      <c r="H5" s="1">
        <f>'2022'!J18</f>
        <v>316</v>
      </c>
      <c r="I5" s="1">
        <f>'2022'!K18</f>
        <v>282</v>
      </c>
      <c r="J5" s="1">
        <f>'2022'!L18</f>
        <v>151</v>
      </c>
      <c r="K5" s="1">
        <f>'2022'!M18</f>
        <v>112</v>
      </c>
      <c r="L5" s="1">
        <f>'2022'!N18</f>
        <v>53</v>
      </c>
      <c r="M5" s="1">
        <f>'2022'!O18</f>
        <v>35</v>
      </c>
      <c r="N5" s="23">
        <f>SUM(B5:M5)</f>
        <v>2120</v>
      </c>
      <c r="P5" s="62"/>
    </row>
    <row r="6" spans="1:16" x14ac:dyDescent="0.2">
      <c r="P6" s="62"/>
    </row>
    <row r="7" spans="1:16" s="7" customFormat="1" ht="20" x14ac:dyDescent="0.2">
      <c r="A7" s="75" t="s">
        <v>37</v>
      </c>
      <c r="B7" s="27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5" t="s">
        <v>55</v>
      </c>
      <c r="P7" s="61"/>
    </row>
    <row r="8" spans="1:16" x14ac:dyDescent="0.2">
      <c r="A8" t="s">
        <v>56</v>
      </c>
      <c r="B8" s="1">
        <f>'2023'!D43</f>
        <v>1625</v>
      </c>
      <c r="C8" s="1">
        <f>'2023'!E43</f>
        <v>16626</v>
      </c>
      <c r="D8" s="1">
        <f>'2023'!F43</f>
        <v>30192</v>
      </c>
      <c r="E8" s="1">
        <f>'2023'!G43</f>
        <v>40137</v>
      </c>
      <c r="F8" s="1">
        <f>'2023'!H43</f>
        <v>50735</v>
      </c>
      <c r="G8" s="1">
        <f>'2023'!I43</f>
        <v>68371</v>
      </c>
      <c r="H8" s="1">
        <f>'2023'!J43</f>
        <v>58488</v>
      </c>
      <c r="I8" s="1">
        <f>'2023'!K43</f>
        <v>48264</v>
      </c>
      <c r="J8" s="1">
        <f>'2023'!L43</f>
        <v>44407</v>
      </c>
      <c r="K8" s="1">
        <f>'2023'!M43</f>
        <v>26841</v>
      </c>
      <c r="L8" s="1">
        <f>'2023'!N43</f>
        <v>11288</v>
      </c>
      <c r="M8" s="1">
        <f>'2023'!O43</f>
        <v>6947</v>
      </c>
      <c r="N8" s="23">
        <f>SUM(B8:M8)</f>
        <v>403921</v>
      </c>
      <c r="P8" s="62"/>
    </row>
    <row r="9" spans="1:16" x14ac:dyDescent="0.2">
      <c r="A9" t="s">
        <v>57</v>
      </c>
      <c r="B9" s="84">
        <f>'2023'!D44</f>
        <v>2790.9750000000004</v>
      </c>
      <c r="C9" s="84">
        <f>'2023'!E44</f>
        <v>17548.084999999999</v>
      </c>
      <c r="D9" s="84">
        <f>'2023'!F44</f>
        <v>32075.27</v>
      </c>
      <c r="E9" s="84">
        <f>'2023'!G44</f>
        <v>42572.165000000001</v>
      </c>
      <c r="F9" s="84">
        <f>'2023'!H44</f>
        <v>47093.83</v>
      </c>
      <c r="G9" s="84">
        <f>'2023'!I44</f>
        <v>49901.925000000003</v>
      </c>
      <c r="H9" s="84">
        <f>'2023'!J44</f>
        <v>51811.525000000001</v>
      </c>
      <c r="I9" s="84">
        <f>'2023'!K44</f>
        <v>44343.630000000005</v>
      </c>
      <c r="J9" s="84">
        <f>'2023'!L44</f>
        <v>34911.47</v>
      </c>
      <c r="K9" s="84">
        <f>'2023'!M44</f>
        <v>22832.36</v>
      </c>
      <c r="L9" s="84">
        <f>'2023'!N44</f>
        <v>14904.064999999999</v>
      </c>
      <c r="M9" s="84">
        <f>'2023'!O44</f>
        <v>10821.605</v>
      </c>
      <c r="N9" s="23"/>
      <c r="P9" s="62"/>
    </row>
    <row r="10" spans="1:16" x14ac:dyDescent="0.2">
      <c r="A10" t="s">
        <v>58</v>
      </c>
      <c r="B10" s="1">
        <f>'2023'!D49</f>
        <v>37</v>
      </c>
      <c r="C10" s="1">
        <f>'2023'!E49</f>
        <v>125</v>
      </c>
      <c r="D10" s="1">
        <f>'2023'!F49</f>
        <v>117</v>
      </c>
      <c r="E10" s="1">
        <f>'2023'!G49</f>
        <v>120</v>
      </c>
      <c r="F10" s="1">
        <f>'2023'!H49</f>
        <v>165</v>
      </c>
      <c r="G10" s="1">
        <f>'2023'!I49</f>
        <v>319</v>
      </c>
      <c r="H10" s="1">
        <f>'2023'!J49</f>
        <v>231</v>
      </c>
      <c r="I10" s="1">
        <f>'2023'!K49</f>
        <v>216</v>
      </c>
      <c r="J10" s="1">
        <f>'2023'!L49</f>
        <v>251</v>
      </c>
      <c r="K10" s="1">
        <f>'2023'!M49</f>
        <v>151</v>
      </c>
      <c r="L10" s="1">
        <f>'2023'!N49</f>
        <v>39</v>
      </c>
      <c r="M10" s="1">
        <f>'2023'!O49</f>
        <v>47</v>
      </c>
      <c r="N10" s="23">
        <f>SUM(B10:M10)</f>
        <v>1818</v>
      </c>
      <c r="P10" s="62"/>
    </row>
    <row r="12" spans="1:16" s="7" customFormat="1" ht="20" x14ac:dyDescent="0.2">
      <c r="A12" s="85" t="s">
        <v>62</v>
      </c>
      <c r="B12" s="27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L12" s="2" t="s">
        <v>10</v>
      </c>
      <c r="M12" s="2" t="s">
        <v>11</v>
      </c>
      <c r="N12" s="25" t="s">
        <v>55</v>
      </c>
      <c r="P12" s="61"/>
    </row>
    <row r="13" spans="1:16" x14ac:dyDescent="0.2">
      <c r="A13" t="s">
        <v>65</v>
      </c>
      <c r="B13" s="1">
        <f>'2024'!D43</f>
        <v>8385</v>
      </c>
      <c r="C13" s="1">
        <f>'2024'!E43</f>
        <v>20880</v>
      </c>
      <c r="D13" s="1">
        <f>'2024'!F43</f>
        <v>34648</v>
      </c>
      <c r="E13" s="1">
        <f>'2024'!G43</f>
        <v>44990</v>
      </c>
      <c r="F13" s="1">
        <f>'2024'!H43</f>
        <v>53540</v>
      </c>
      <c r="G13" s="1">
        <f>'2024'!I43</f>
        <v>52700</v>
      </c>
      <c r="H13" s="1">
        <f>'2024'!J43</f>
        <v>62788</v>
      </c>
      <c r="I13" s="1">
        <f>'2024'!K43</f>
        <v>59810</v>
      </c>
      <c r="J13" s="1">
        <f>'2024'!L43</f>
        <v>36955</v>
      </c>
      <c r="K13" s="1">
        <f>'2024'!M43</f>
        <v>19004</v>
      </c>
      <c r="L13" s="1">
        <f>'2024'!N43</f>
        <v>10671</v>
      </c>
      <c r="M13" s="1">
        <f>'2024'!O43</f>
        <v>7514</v>
      </c>
      <c r="N13" s="23">
        <f>SUM(B13:M13)</f>
        <v>411885</v>
      </c>
      <c r="P13" s="62"/>
    </row>
    <row r="14" spans="1:16" x14ac:dyDescent="0.2">
      <c r="A14" t="s">
        <v>63</v>
      </c>
      <c r="B14" s="84">
        <f>'2024'!D44</f>
        <v>13112.935125</v>
      </c>
      <c r="C14" s="84">
        <f>'2024'!E44</f>
        <v>20233.344575000003</v>
      </c>
      <c r="D14" s="84">
        <f>'2024'!F44</f>
        <v>37075.893649999998</v>
      </c>
      <c r="E14" s="84">
        <f>'2024'!G44</f>
        <v>49364.304175000005</v>
      </c>
      <c r="F14" s="84">
        <f>'2024'!H44</f>
        <v>54639.360849999997</v>
      </c>
      <c r="G14" s="84">
        <f>'2024'!I44</f>
        <v>57993.415374999997</v>
      </c>
      <c r="H14" s="84">
        <f>'2024'!J44</f>
        <v>60105.467375</v>
      </c>
      <c r="I14" s="84">
        <f>'2024'!K44</f>
        <v>51417.911850000004</v>
      </c>
      <c r="J14" s="84">
        <f>'2024'!L44</f>
        <v>40432.912649999998</v>
      </c>
      <c r="K14" s="84">
        <f>'2024'!M44</f>
        <v>26420.198199999999</v>
      </c>
      <c r="L14" s="84">
        <f>'2024'!N44</f>
        <v>14839.809674999999</v>
      </c>
      <c r="M14" s="84">
        <f>'2024'!O44</f>
        <v>10774.846974999999</v>
      </c>
      <c r="N14" s="23"/>
      <c r="P14" s="62"/>
    </row>
    <row r="15" spans="1:16" x14ac:dyDescent="0.2">
      <c r="A15" t="s">
        <v>64</v>
      </c>
      <c r="B15" s="1">
        <f>'2024'!D49</f>
        <v>68</v>
      </c>
      <c r="C15" s="1">
        <f>'2024'!E49</f>
        <v>78</v>
      </c>
      <c r="D15" s="1">
        <f>'2024'!F49</f>
        <v>123</v>
      </c>
      <c r="E15" s="1">
        <f>'2024'!G49</f>
        <v>144</v>
      </c>
      <c r="F15" s="1">
        <f>'2024'!H49</f>
        <v>148</v>
      </c>
      <c r="G15" s="1">
        <f>'2024'!I49</f>
        <v>146</v>
      </c>
      <c r="H15" s="1">
        <f>'2024'!J49</f>
        <v>227</v>
      </c>
      <c r="I15" s="1">
        <f>'2024'!K49</f>
        <v>274</v>
      </c>
      <c r="J15" s="1">
        <f>'2024'!L49</f>
        <v>136</v>
      </c>
      <c r="K15" s="1">
        <f>'2024'!M49</f>
        <v>64</v>
      </c>
      <c r="L15" s="1">
        <f>'2024'!N49</f>
        <v>69</v>
      </c>
      <c r="M15" s="1">
        <f>'2024'!O49</f>
        <v>35</v>
      </c>
      <c r="N15" s="23">
        <f>SUM(B15:M15)</f>
        <v>1512</v>
      </c>
      <c r="P15" s="62"/>
    </row>
    <row r="16" spans="1:16" x14ac:dyDescent="0.2">
      <c r="P16" s="62"/>
    </row>
    <row r="17" spans="1:16" s="7" customFormat="1" ht="20" x14ac:dyDescent="0.2">
      <c r="A17" s="89" t="s">
        <v>66</v>
      </c>
      <c r="B17" s="27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2" t="s">
        <v>9</v>
      </c>
      <c r="L17" s="2" t="s">
        <v>10</v>
      </c>
      <c r="M17" s="2" t="s">
        <v>11</v>
      </c>
      <c r="N17" s="25" t="s">
        <v>55</v>
      </c>
      <c r="P17" s="61"/>
    </row>
    <row r="18" spans="1:16" x14ac:dyDescent="0.2">
      <c r="A18" t="s">
        <v>67</v>
      </c>
      <c r="B18" s="84">
        <f>'2025'!D43</f>
        <v>12260</v>
      </c>
      <c r="C18" s="84">
        <f>'2025'!E43</f>
        <v>13468</v>
      </c>
      <c r="D18" s="84">
        <f>'2025'!F43</f>
        <v>35035</v>
      </c>
      <c r="E18" s="84">
        <f>'2025'!G43</f>
        <v>53610</v>
      </c>
      <c r="F18" s="84">
        <f>'2025'!H43</f>
        <v>53760</v>
      </c>
      <c r="G18" s="84">
        <f>'2025'!I43</f>
        <v>64920</v>
      </c>
      <c r="H18" s="84">
        <f>'2025'!J43</f>
        <v>0</v>
      </c>
      <c r="I18" s="84">
        <f>'2025'!K43</f>
        <v>0</v>
      </c>
      <c r="J18" s="84">
        <f>'2025'!L43</f>
        <v>0</v>
      </c>
      <c r="K18" s="84">
        <f>'2025'!M43</f>
        <v>0</v>
      </c>
      <c r="L18" s="84">
        <f>'2025'!N43</f>
        <v>0</v>
      </c>
      <c r="M18" s="84">
        <f>'2025'!O43</f>
        <v>0</v>
      </c>
      <c r="N18" s="23">
        <f>SUM(B18:M18)</f>
        <v>233053</v>
      </c>
      <c r="P18" s="62"/>
    </row>
    <row r="19" spans="1:16" x14ac:dyDescent="0.2">
      <c r="A19" t="s">
        <v>68</v>
      </c>
      <c r="B19" s="84">
        <f>'2025'!D44</f>
        <v>13073.596319625</v>
      </c>
      <c r="C19" s="84">
        <f>'2025'!E44</f>
        <v>20172.644541275</v>
      </c>
      <c r="D19" s="84">
        <f>'2025'!F44</f>
        <v>36964.665969049995</v>
      </c>
      <c r="E19" s="84">
        <f>'2025'!G44</f>
        <v>49216.211262474993</v>
      </c>
      <c r="F19" s="84">
        <f>'2025'!H44</f>
        <v>54475.442767449997</v>
      </c>
      <c r="G19" s="84">
        <f>'2025'!I44</f>
        <v>57819.435128875004</v>
      </c>
      <c r="H19" s="84">
        <f>'2025'!J44</f>
        <v>59925.150972874995</v>
      </c>
      <c r="I19" s="84">
        <f>'2025'!K44</f>
        <v>51263.658114449994</v>
      </c>
      <c r="J19" s="84">
        <f>'2025'!L44</f>
        <v>40311.613912050001</v>
      </c>
      <c r="K19" s="84">
        <f>'2025'!M44</f>
        <v>26340.937605400002</v>
      </c>
      <c r="L19" s="84">
        <f>'2025'!N44</f>
        <v>14795.290245975</v>
      </c>
      <c r="M19" s="84">
        <f>'2025'!O44</f>
        <v>10742.522434075001</v>
      </c>
      <c r="N19" s="23"/>
      <c r="P19" s="62"/>
    </row>
    <row r="20" spans="1:16" x14ac:dyDescent="0.2">
      <c r="A20" t="s">
        <v>69</v>
      </c>
      <c r="B20" s="1">
        <f>'2025'!D49</f>
        <v>69</v>
      </c>
      <c r="C20" s="1">
        <f>'2025'!E49</f>
        <v>52</v>
      </c>
      <c r="D20" s="1">
        <f>'2025'!F49</f>
        <v>151</v>
      </c>
      <c r="E20" s="1">
        <f>'2025'!G49</f>
        <v>252</v>
      </c>
      <c r="F20" s="1">
        <f>'2025'!H49</f>
        <v>198</v>
      </c>
      <c r="G20" s="1">
        <f>'2025'!I49</f>
        <v>291</v>
      </c>
      <c r="H20" s="1">
        <f>'2025'!J49</f>
        <v>0</v>
      </c>
      <c r="I20" s="1">
        <f>'2025'!K49</f>
        <v>0</v>
      </c>
      <c r="J20" s="1">
        <f>'2025'!L49</f>
        <v>0</v>
      </c>
      <c r="K20" s="1">
        <f>'2025'!M49</f>
        <v>0</v>
      </c>
      <c r="L20" s="1">
        <f>'2025'!N49</f>
        <v>0</v>
      </c>
      <c r="M20" s="1">
        <f>'2025'!O49</f>
        <v>0</v>
      </c>
      <c r="N20" s="23">
        <f>SUM(B20:M20)</f>
        <v>1013</v>
      </c>
      <c r="P20" s="62"/>
    </row>
    <row r="21" spans="1:16" x14ac:dyDescent="0.2">
      <c r="P21" s="60"/>
    </row>
    <row r="22" spans="1:16" x14ac:dyDescent="0.2">
      <c r="A22" s="8"/>
      <c r="P22" s="60"/>
    </row>
    <row r="23" spans="1:16" x14ac:dyDescent="0.2">
      <c r="P23" s="60"/>
    </row>
    <row r="24" spans="1:16" x14ac:dyDescent="0.2">
      <c r="P24" s="60"/>
    </row>
  </sheetData>
  <phoneticPr fontId="2" type="noConversion"/>
  <pageMargins left="0.7" right="0.7" top="0.78740157499999996" bottom="0.78740157499999996" header="0.3" footer="0.3"/>
  <pageSetup paperSize="9"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aktuelles Diagramm - alle Jahre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Reto Seiler</dc:creator>
  <cp:lastModifiedBy>Philipp Grünenfelder</cp:lastModifiedBy>
  <cp:lastPrinted>2021-11-08T13:06:11Z</cp:lastPrinted>
  <dcterms:created xsi:type="dcterms:W3CDTF">2021-08-01T12:32:14Z</dcterms:created>
  <dcterms:modified xsi:type="dcterms:W3CDTF">2025-07-28T07:27:28Z</dcterms:modified>
</cp:coreProperties>
</file>