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o Seiler\OneDrive\02 OM Aufgaben\BBZ OM PVA\"/>
    </mc:Choice>
  </mc:AlternateContent>
  <xr:revisionPtr revIDLastSave="0" documentId="13_ncr:1_{82534600-B919-462F-843F-3BA1B61B2A2E}" xr6:coauthVersionLast="47" xr6:coauthVersionMax="47" xr10:uidLastSave="{00000000-0000-0000-0000-000000000000}"/>
  <bookViews>
    <workbookView xWindow="-28920" yWindow="-120" windowWidth="29040" windowHeight="15720" activeTab="3" xr2:uid="{D52C2B05-F98F-4F87-992A-41BB7F84CFFE}"/>
  </bookViews>
  <sheets>
    <sheet name="2024" sheetId="6" r:id="rId1"/>
    <sheet name="2023" sheetId="5" r:id="rId2"/>
    <sheet name="2022" sheetId="4" r:id="rId3"/>
    <sheet name="aktuelles Diagramm - alle Jahr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6" l="1"/>
  <c r="N47" i="6"/>
  <c r="M47" i="6"/>
  <c r="L43" i="6"/>
  <c r="L47" i="6"/>
  <c r="B43" i="6"/>
  <c r="K46" i="6" s="1"/>
  <c r="K47" i="6"/>
  <c r="K38" i="6"/>
  <c r="R48" i="6"/>
  <c r="Q49" i="6"/>
  <c r="J43" i="6"/>
  <c r="I43" i="6"/>
  <c r="H43" i="6"/>
  <c r="G43" i="6"/>
  <c r="F43" i="6"/>
  <c r="E43" i="6"/>
  <c r="Q44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D14" i="1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D43" i="6" s="1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M10" i="6"/>
  <c r="L10" i="6"/>
  <c r="L13" i="6" s="1"/>
  <c r="K10" i="6"/>
  <c r="K13" i="6" s="1"/>
  <c r="J10" i="6"/>
  <c r="I10" i="6"/>
  <c r="H10" i="6"/>
  <c r="G10" i="6"/>
  <c r="G13" i="6" s="1"/>
  <c r="F10" i="6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N3" i="1" s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N10" i="1" s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N43" i="6" l="1"/>
  <c r="L13" i="1" s="1"/>
  <c r="M43" i="6"/>
  <c r="Q25" i="6"/>
  <c r="P28" i="6" s="1"/>
  <c r="Q17" i="6"/>
  <c r="P20" i="6" s="1"/>
  <c r="Q38" i="6"/>
  <c r="P41" i="6" s="1"/>
  <c r="Q32" i="6"/>
  <c r="P35" i="6" s="1"/>
  <c r="Q10" i="6"/>
  <c r="P13" i="6" s="1"/>
  <c r="K43" i="6"/>
  <c r="H13" i="1"/>
  <c r="I45" i="6"/>
  <c r="H45" i="6"/>
  <c r="O43" i="6"/>
  <c r="M13" i="1" s="1"/>
  <c r="J13" i="1"/>
  <c r="E13" i="1"/>
  <c r="D13" i="1"/>
  <c r="N15" i="1"/>
  <c r="E35" i="6"/>
  <c r="D46" i="6"/>
  <c r="E13" i="6"/>
  <c r="F13" i="6"/>
  <c r="J13" i="6"/>
  <c r="M13" i="6"/>
  <c r="N13" i="6"/>
  <c r="H13" i="6"/>
  <c r="D41" i="6"/>
  <c r="P5" i="6"/>
  <c r="I13" i="6"/>
  <c r="D13" i="6"/>
  <c r="N5" i="1"/>
  <c r="D41" i="5"/>
  <c r="R17" i="4"/>
  <c r="Q43" i="6" l="1"/>
  <c r="P43" i="6" s="1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3" i="1" l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N8" i="1" s="1"/>
  <c r="F45" i="5"/>
  <c r="D8" i="1"/>
  <c r="F46" i="5"/>
  <c r="N45" i="5"/>
  <c r="Q43" i="5"/>
  <c r="G45" i="5"/>
  <c r="M45" i="5"/>
  <c r="P11" i="4"/>
  <c r="Q13" i="4"/>
  <c r="P13" i="4" s="1"/>
</calcChain>
</file>

<file path=xl/sharedStrings.xml><?xml version="1.0" encoding="utf-8"?>
<sst xmlns="http://schemas.openxmlformats.org/spreadsheetml/2006/main" count="268" uniqueCount="66">
  <si>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</si>
  <si>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</si>
  <si>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</si>
  <si>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</si>
  <si>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</si>
  <si>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</si>
  <si>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</si>
  <si>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</si>
  <si>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</si>
  <si>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</si>
  <si>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</si>
  <si>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</si>
  <si>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Bemerkung</t>
  </si>
  <si>
    <t>Sepzifischer Ertrag in kWh/kWp</t>
  </si>
  <si>
    <t>Total in kWh</t>
  </si>
  <si>
    <t>Erträge IST</t>
  </si>
  <si>
    <t>Abweichung SOLL - IST in %</t>
  </si>
  <si>
    <t>Erträge IST ZwTotal</t>
  </si>
  <si>
    <t>Globalstrahlung W/m2*Jahr</t>
  </si>
  <si>
    <t>Sonnenscheindauer in h</t>
  </si>
  <si>
    <t>Anlagen in kWp</t>
  </si>
  <si>
    <t>Prognose SOLL*</t>
  </si>
  <si>
    <t>*</t>
  </si>
  <si>
    <t>Daten 2022</t>
  </si>
  <si>
    <t>statische Prognose-Berechnung (berücksichtigt 20 Jahres-Statistik)</t>
  </si>
  <si>
    <t>Erträge IST (kWh)</t>
  </si>
  <si>
    <t>Prognose SOLL (kWh)</t>
  </si>
  <si>
    <t>Hoffeld 28, H2</t>
  </si>
  <si>
    <t>Hoffeld 32, H3</t>
  </si>
  <si>
    <t>Hoffeld 36, H4</t>
  </si>
  <si>
    <t>Hoffeld 40, H5</t>
  </si>
  <si>
    <t>Kiefernweg 8-12, K5.2</t>
  </si>
  <si>
    <t>Referenz-Anlage</t>
  </si>
  <si>
    <t>ABZ Birchstrasse 111</t>
  </si>
  <si>
    <t>BBZ 4. NBE Total</t>
  </si>
  <si>
    <t>Probleme mit Strang 2 Optimizer</t>
  </si>
  <si>
    <t>jährl. Degradation 0.5%</t>
  </si>
  <si>
    <t>Daten 2023</t>
  </si>
  <si>
    <t>Oberwiesenstr. 1</t>
  </si>
  <si>
    <t>Künzlistr. 47-51</t>
  </si>
  <si>
    <t>Wehntalerstr. 188</t>
  </si>
  <si>
    <t>BBZ alle Anlagen</t>
  </si>
  <si>
    <t>Künzlistr. 41-45</t>
  </si>
  <si>
    <t>Künzlistr. 35-39</t>
  </si>
  <si>
    <t>Wehntalerstr. 180</t>
  </si>
  <si>
    <t>Wehntalerstr. 172</t>
  </si>
  <si>
    <t>Künzlistr. 21-25</t>
  </si>
  <si>
    <t>Künzlistr. 15</t>
  </si>
  <si>
    <t>Wehntalerstr. 158</t>
  </si>
  <si>
    <t>Spezifischer Ertrag kWh/kWp</t>
  </si>
  <si>
    <t>ABZ Birchstrasse 111 Spez. Ertrag</t>
  </si>
  <si>
    <t>In Betrieb seit Mitte Februar</t>
  </si>
  <si>
    <t>Unterer Rain 2-4</t>
  </si>
  <si>
    <t>Langäristrasse 2</t>
  </si>
  <si>
    <t>In Betrieb seit Ende Oktober</t>
  </si>
  <si>
    <t>Total</t>
  </si>
  <si>
    <t>Erträge IST (kWh) im 2023</t>
  </si>
  <si>
    <t>Prognose SOLL (kWh) im 2023</t>
  </si>
  <si>
    <t>Sonnenscheindauer in h im 2023</t>
  </si>
  <si>
    <t>Sonnenscheindauer in h im 2022</t>
  </si>
  <si>
    <t>Prognose SOLL (kWh) im 2022</t>
  </si>
  <si>
    <t>Erträge IST (kWh) im 2022</t>
  </si>
  <si>
    <t>Daten 2024</t>
  </si>
  <si>
    <t>Prognose SOLL (kWh) im 2024</t>
  </si>
  <si>
    <t>Sonnenscheindauer in h im 2024</t>
  </si>
  <si>
    <t>Erträge IST (kWh) im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</si>
</sst>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4" fontId="1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4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4" fontId="1" fillId="0" borderId="3" xfId="0" applyNumberFormat="1" applyFont="1" applyBorder="1"/>
    <xf numFmtId="0" fontId="0" fillId="6" borderId="2" xfId="0" applyFill="1" applyBorder="1"/>
    <xf numFmtId="0" fontId="10" fillId="4" borderId="2" xfId="0" applyFont="1" applyFill="1" applyBorder="1"/>
    <xf numFmtId="164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2" fillId="0" borderId="0" xfId="0" applyFont="1"/>
    <xf numFmtId="1" fontId="0" fillId="0" borderId="0" xfId="0" applyNumberFormat="1"/>
    <xf numFmtId="0" fontId="13" fillId="0" borderId="0" xfId="0" applyFont="1" applyAlignment="1">
      <alignment horizontal="left"/>
    </xf>
    <xf numFmtId="0" fontId="11" fillId="6" borderId="0" xfId="0" applyFont="1" applyFill="1"/>
    <xf numFmtId="0" fontId="12" fillId="2" borderId="0" xfId="0" applyFont="1" applyFill="1"/>
    <xf numFmtId="164" fontId="12" fillId="2" borderId="2" xfId="0" applyNumberFormat="1" applyFont="1" applyFill="1" applyBorder="1"/>
    <xf numFmtId="164" fontId="12" fillId="2" borderId="0" xfId="0" applyNumberFormat="1" applyFont="1" applyFill="1"/>
    <xf numFmtId="1" fontId="12" fillId="2" borderId="0" xfId="0" applyNumberFormat="1" applyFont="1" applyFill="1"/>
    <xf numFmtId="164" fontId="12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4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8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6" fillId="0" borderId="0" xfId="0" applyFont="1"/>
    <xf numFmtId="164" fontId="6" fillId="0" borderId="0" xfId="1" applyNumberFormat="1" applyFont="1" applyFill="1" applyBorder="1" applyAlignment="1">
      <alignment horizontal="center"/>
    </xf>
    <xf numFmtId="165" fontId="7" fillId="0" borderId="2" xfId="1" applyNumberFormat="1" applyFont="1" applyFill="1" applyBorder="1" applyAlignment="1">
      <alignment horizontal="center"/>
    </xf>
    <xf numFmtId="165" fontId="5" fillId="3" borderId="6" xfId="1" applyNumberFormat="1" applyFont="1" applyFill="1" applyBorder="1"/>
    <xf numFmtId="164" fontId="12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4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10" fillId="4" borderId="2" xfId="0" applyNumberFormat="1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6" borderId="0" xfId="0" applyFont="1" applyFill="1"/>
    <xf numFmtId="164" fontId="4" fillId="6" borderId="2" xfId="0" applyNumberFormat="1" applyFont="1" applyFill="1" applyBorder="1"/>
    <xf numFmtId="164" fontId="4" fillId="6" borderId="0" xfId="0" applyNumberFormat="1" applyFont="1" applyFill="1"/>
    <xf numFmtId="1" fontId="15" fillId="6" borderId="0" xfId="0" applyNumberFormat="1" applyFont="1" applyFill="1"/>
    <xf numFmtId="1" fontId="16" fillId="6" borderId="0" xfId="0" applyNumberFormat="1" applyFont="1" applyFill="1"/>
    <xf numFmtId="1" fontId="0" fillId="0" borderId="5" xfId="0" applyNumberFormat="1" applyBorder="1"/>
    <xf numFmtId="1" fontId="16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6" fillId="6" borderId="0" xfId="0" applyFont="1" applyFill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B27A"/>
      <color rgb="FFEA3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2023 - Stand 31. Dezember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41-9DC5-3DAE1F36A46B}"/>
            </c:ext>
          </c:extLst>
        </c:ser>
        <c:ser>
          <c:idx val="1"/>
          <c:order val="1"/>
          <c:tx>
            <c:strRef>
              <c:f>'aktuelles Diagramm - alle Jahre'!$A$9</c:f>
              <c:strCache>
                <c:ptCount val="1"/>
                <c:pt idx="0">
                  <c:v>Prognose SOLL (kWh) im 2023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Jahre'!$B$9:$M$9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41-9DC5-3DAE1F36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lineChart>
        <c:grouping val="standard"/>
        <c:varyColors val="0"/>
        <c:ser>
          <c:idx val="2"/>
          <c:order val="2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441-9DC5-3DAE1F36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2024 - Stand 31. Dezember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1"/>
          <c:order val="1"/>
          <c:tx>
            <c:strRef>
              <c:f>'aktuelles Diagramm - alle Jahre'!$A$14</c:f>
              <c:strCache>
                <c:ptCount val="1"/>
                <c:pt idx="0">
                  <c:v>Prognose SOLL (kWh) im 2024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Jahre'!$B$14:$M$14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C-4DCD-A570-F26E8745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lineChart>
        <c:grouping val="standard"/>
        <c:varyColors val="0"/>
        <c:ser>
          <c:idx val="2"/>
          <c:order val="2"/>
          <c:tx>
            <c:strRef>
              <c:f>'aktuelles Diagramm - alle Jahre'!$A$15</c:f>
              <c:strCache>
                <c:ptCount val="1"/>
                <c:pt idx="0">
                  <c:v>Sonnenscheindauer in h im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Jahre'!$B$15:$M$15</c:f>
              <c:numCache>
                <c:formatCode>General</c:formatCode>
                <c:ptCount val="12"/>
                <c:pt idx="0">
                  <c:v>68</c:v>
                </c:pt>
                <c:pt idx="1">
                  <c:v>78</c:v>
                </c:pt>
                <c:pt idx="2">
                  <c:v>123</c:v>
                </c:pt>
                <c:pt idx="3">
                  <c:v>144</c:v>
                </c:pt>
                <c:pt idx="4">
                  <c:v>148</c:v>
                </c:pt>
                <c:pt idx="5">
                  <c:v>146</c:v>
                </c:pt>
                <c:pt idx="6">
                  <c:v>227</c:v>
                </c:pt>
                <c:pt idx="7">
                  <c:v>274</c:v>
                </c:pt>
                <c:pt idx="8">
                  <c:v>136</c:v>
                </c:pt>
                <c:pt idx="9">
                  <c:v>64</c:v>
                </c:pt>
                <c:pt idx="10">
                  <c:v>69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C-4DCD-A570-F26E8745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19004</c:v>
                </c:pt>
                <c:pt idx="10">
                  <c:v>10671</c:v>
                </c:pt>
                <c:pt idx="11">
                  <c:v>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53</xdr:row>
      <xdr:rowOff>47624</xdr:rowOff>
    </xdr:from>
    <xdr:to>
      <xdr:col>13</xdr:col>
      <xdr:colOff>361950</xdr:colOff>
      <xdr:row>83</xdr:row>
      <xdr:rowOff>60324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1390650</xdr:colOff>
      <xdr:row>87</xdr:row>
      <xdr:rowOff>114300</xdr:rowOff>
    </xdr:from>
    <xdr:to>
      <xdr:col>13</xdr:col>
      <xdr:colOff>311150</xdr:colOff>
      <xdr:row>117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1400175</xdr:colOff>
      <xdr:row>17</xdr:row>
      <xdr:rowOff>57150</xdr:rowOff>
    </xdr:from>
    <xdr:to>
      <xdr:col>13</xdr:col>
      <xdr:colOff>323850</xdr:colOff>
      <xdr:row>47</xdr:row>
      <xdr:rowOff>47625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6" activePane="bottomRight" state="frozen"/>
      <selection pane="topRight" activeCell="D1" sqref="D1"/>
      <selection pane="bottomLeft" activeCell="A2" sqref="A2"/>
      <selection pane="bottomRight" activeCell="J41" sqref="J41"/>
    </sheetView>
  </sheetViews>
  <sheetFormatPr baseColWidth="10" defaultRowHeight="14.5" x14ac:dyDescent="0.35"/>
  <cols>
    <col min="1" max="1" width="19.453125" bestFit="1" customWidth="1"/>
    <col min="2" max="2" width="9.453125" style="1" customWidth="1"/>
    <col min="3" max="3" width="25" customWidth="1"/>
    <col min="4" max="15" width="11.54296875" customWidth="1"/>
    <col min="16" max="16" width="18.54296875" style="4" bestFit="1" customWidth="1"/>
    <col min="17" max="17" width="10.81640625" customWidth="1"/>
    <col min="18" max="18" width="27.1796875" bestFit="1" customWidth="1"/>
  </cols>
  <sheetData>
    <row r="1" spans="1:18" ht="29.15" customHeight="1" x14ac:dyDescent="0.35">
      <c r="A1" s="2"/>
      <c r="B1" s="3" t="s">
        <v>20</v>
      </c>
      <c r="C1" s="89" t="s">
        <v>62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70" t="s">
        <v>14</v>
      </c>
      <c r="R1" s="25" t="s">
        <v>12</v>
      </c>
    </row>
    <row r="2" spans="1:18" x14ac:dyDescent="0.35">
      <c r="A2" s="7" t="s">
        <v>31</v>
      </c>
      <c r="B2" s="1">
        <v>45.14</v>
      </c>
      <c r="C2" t="s">
        <v>15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>
        <v>1660</v>
      </c>
      <c r="N2" s="34">
        <v>925</v>
      </c>
      <c r="O2" s="34">
        <v>665</v>
      </c>
      <c r="P2" s="19"/>
      <c r="Q2" s="24">
        <f>SUM(D2:O2)</f>
        <v>36483</v>
      </c>
      <c r="R2" s="23"/>
    </row>
    <row r="3" spans="1:18" x14ac:dyDescent="0.35">
      <c r="C3" t="s">
        <v>21</v>
      </c>
      <c r="D3" s="71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71">
        <f>SUM(D3:P3)</f>
        <v>44653.097575</v>
      </c>
      <c r="R3" s="23"/>
    </row>
    <row r="4" spans="1:18" s="72" customFormat="1" hidden="1" x14ac:dyDescent="0.35">
      <c r="B4" s="73"/>
      <c r="C4" s="72" t="s">
        <v>36</v>
      </c>
      <c r="D4" s="74">
        <f>D3*0.995</f>
        <v>1317.045107875</v>
      </c>
      <c r="E4" s="90">
        <f t="shared" ref="E4:O4" si="0">E3*0.995</f>
        <v>2040.0900661249998</v>
      </c>
      <c r="F4" s="90">
        <f t="shared" si="0"/>
        <v>3761.0158727499997</v>
      </c>
      <c r="G4" s="90">
        <f t="shared" si="0"/>
        <v>5034.7176861249991</v>
      </c>
      <c r="H4" s="90">
        <f t="shared" si="0"/>
        <v>5589.3148407500003</v>
      </c>
      <c r="I4" s="90">
        <f t="shared" si="0"/>
        <v>5940.9865711250004</v>
      </c>
      <c r="J4" s="90">
        <f t="shared" si="0"/>
        <v>6165.5836426249998</v>
      </c>
      <c r="K4" s="90">
        <f t="shared" si="0"/>
        <v>5258.3296827499998</v>
      </c>
      <c r="L4" s="90">
        <f t="shared" si="0"/>
        <v>4103.8219292499998</v>
      </c>
      <c r="M4" s="90">
        <f t="shared" si="0"/>
        <v>2659.7021625000002</v>
      </c>
      <c r="N4" s="90">
        <f t="shared" si="0"/>
        <v>1488.4481361249998</v>
      </c>
      <c r="O4" s="90">
        <f t="shared" si="0"/>
        <v>1070.7763891250002</v>
      </c>
      <c r="P4" s="77"/>
      <c r="Q4" s="76"/>
      <c r="R4" s="76"/>
    </row>
    <row r="5" spans="1:18" s="7" customFormat="1" x14ac:dyDescent="0.35">
      <c r="A5" s="5"/>
      <c r="B5" s="6"/>
      <c r="C5" s="5" t="s">
        <v>16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-37.89906165856268</v>
      </c>
      <c r="N5" s="12">
        <f t="shared" si="2"/>
        <v>-38.165463904164753</v>
      </c>
      <c r="O5" s="12">
        <f t="shared" si="2"/>
        <v>-38.206052475559623</v>
      </c>
      <c r="P5" s="20">
        <f>Q2/B2</f>
        <v>808.21887461231722</v>
      </c>
      <c r="Q5" s="32"/>
      <c r="R5" s="26"/>
    </row>
    <row r="6" spans="1:18" x14ac:dyDescent="0.35">
      <c r="A6" s="7" t="s">
        <v>27</v>
      </c>
      <c r="B6" s="1">
        <v>13.32</v>
      </c>
      <c r="C6" t="s">
        <v>15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>
        <v>483</v>
      </c>
      <c r="N6" s="34">
        <v>252</v>
      </c>
      <c r="O6" s="34">
        <v>176</v>
      </c>
      <c r="P6" s="21"/>
      <c r="Q6" s="23"/>
      <c r="R6" s="23"/>
    </row>
    <row r="7" spans="1:18" x14ac:dyDescent="0.35">
      <c r="A7" s="7" t="s">
        <v>28</v>
      </c>
      <c r="B7" s="1">
        <v>13.32</v>
      </c>
      <c r="C7" t="s">
        <v>15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>
        <v>486</v>
      </c>
      <c r="N7" s="34">
        <v>262</v>
      </c>
      <c r="O7" s="34">
        <v>184</v>
      </c>
      <c r="P7" s="21"/>
      <c r="Q7" s="23"/>
      <c r="R7" s="23"/>
    </row>
    <row r="8" spans="1:18" x14ac:dyDescent="0.35">
      <c r="A8" s="7" t="s">
        <v>29</v>
      </c>
      <c r="B8" s="1">
        <v>13.32</v>
      </c>
      <c r="C8" t="s">
        <v>15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>
        <v>475</v>
      </c>
      <c r="N8" s="34">
        <v>258</v>
      </c>
      <c r="O8" s="34">
        <v>182</v>
      </c>
      <c r="P8" s="21"/>
      <c r="Q8" s="23"/>
      <c r="R8" s="23"/>
    </row>
    <row r="9" spans="1:18" x14ac:dyDescent="0.35">
      <c r="A9" s="7" t="s">
        <v>30</v>
      </c>
      <c r="B9" s="1">
        <v>13.32</v>
      </c>
      <c r="C9" t="s">
        <v>15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>
        <v>479</v>
      </c>
      <c r="N9" s="34">
        <v>259</v>
      </c>
      <c r="O9" s="34">
        <v>182</v>
      </c>
      <c r="P9" s="21"/>
      <c r="Q9" s="23"/>
      <c r="R9" s="23"/>
    </row>
    <row r="10" spans="1:18" x14ac:dyDescent="0.35">
      <c r="C10" s="16" t="s">
        <v>17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1923</v>
      </c>
      <c r="N10" s="16">
        <f t="shared" si="4"/>
        <v>1031</v>
      </c>
      <c r="O10" s="16">
        <f t="shared" si="4"/>
        <v>724</v>
      </c>
      <c r="P10" s="21"/>
      <c r="Q10" s="24">
        <f>SUM(D10:O10)</f>
        <v>42746</v>
      </c>
      <c r="R10" s="23"/>
    </row>
    <row r="11" spans="1:18" x14ac:dyDescent="0.35">
      <c r="C11" t="s">
        <v>21</v>
      </c>
      <c r="D11" s="71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71">
        <f>SUM(D11:P11)</f>
        <v>51002.127900000007</v>
      </c>
      <c r="R11" s="23"/>
    </row>
    <row r="12" spans="1:18" s="72" customFormat="1" hidden="1" x14ac:dyDescent="0.35">
      <c r="B12" s="73"/>
      <c r="C12" s="72" t="s">
        <v>36</v>
      </c>
      <c r="D12" s="74">
        <f>D11*0.995</f>
        <v>1446.0899165000001</v>
      </c>
      <c r="E12" s="90">
        <f t="shared" ref="E12:O12" si="5">E11*0.995</f>
        <v>2277.4931110000002</v>
      </c>
      <c r="F12" s="90">
        <f t="shared" si="5"/>
        <v>4263.4040589999995</v>
      </c>
      <c r="G12" s="90">
        <f t="shared" si="5"/>
        <v>5768.5984680000001</v>
      </c>
      <c r="H12" s="90">
        <f t="shared" si="5"/>
        <v>6462.0911799999994</v>
      </c>
      <c r="I12" s="90">
        <f t="shared" si="5"/>
        <v>6879.7629269999998</v>
      </c>
      <c r="J12" s="90">
        <f t="shared" si="5"/>
        <v>7128.0017954999994</v>
      </c>
      <c r="K12" s="90">
        <f t="shared" si="5"/>
        <v>6044.4194329999991</v>
      </c>
      <c r="L12" s="90">
        <f t="shared" si="5"/>
        <v>4669.2549074999997</v>
      </c>
      <c r="M12" s="90">
        <f t="shared" si="5"/>
        <v>2982.8067215000001</v>
      </c>
      <c r="N12" s="90">
        <f t="shared" si="5"/>
        <v>1650.9854905</v>
      </c>
      <c r="O12" s="90">
        <f t="shared" si="5"/>
        <v>1174.209251</v>
      </c>
      <c r="P12" s="75"/>
      <c r="Q12" s="76"/>
      <c r="R12" s="76"/>
    </row>
    <row r="13" spans="1:18" s="7" customFormat="1" x14ac:dyDescent="0.35">
      <c r="A13" s="5"/>
      <c r="B13" s="6"/>
      <c r="C13" s="5" t="s">
        <v>16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-35.852866824780634</v>
      </c>
      <c r="N13" s="12">
        <f t="shared" si="6"/>
        <v>-37.864687127606224</v>
      </c>
      <c r="O13" s="12">
        <f t="shared" si="6"/>
        <v>-38.649776486899782</v>
      </c>
      <c r="P13" s="20">
        <f>Q10/(B9+B8+B7+B6)</f>
        <v>802.28978978978978</v>
      </c>
      <c r="Q13" s="32"/>
      <c r="R13" s="26"/>
    </row>
    <row r="14" spans="1:18" x14ac:dyDescent="0.35">
      <c r="A14" s="7" t="s">
        <v>38</v>
      </c>
      <c r="B14" s="53">
        <v>20</v>
      </c>
      <c r="C14" t="s">
        <v>15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>
        <v>754</v>
      </c>
      <c r="N14" s="34">
        <v>418</v>
      </c>
      <c r="O14" s="34">
        <v>292</v>
      </c>
      <c r="P14" s="21"/>
      <c r="Q14" s="23"/>
      <c r="R14" s="23"/>
    </row>
    <row r="15" spans="1:18" x14ac:dyDescent="0.35">
      <c r="A15" s="7" t="s">
        <v>39</v>
      </c>
      <c r="B15" s="1">
        <v>45.2</v>
      </c>
      <c r="C15" t="s">
        <v>15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>
        <v>1730</v>
      </c>
      <c r="N15" s="34">
        <v>977</v>
      </c>
      <c r="O15" s="34">
        <v>708</v>
      </c>
      <c r="P15" s="21"/>
      <c r="Q15" s="23"/>
      <c r="R15" s="23"/>
    </row>
    <row r="16" spans="1:18" x14ac:dyDescent="0.35">
      <c r="A16" s="7" t="s">
        <v>40</v>
      </c>
      <c r="B16" s="1">
        <v>20.8</v>
      </c>
      <c r="C16" t="s">
        <v>15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>
        <v>861</v>
      </c>
      <c r="N16" s="34">
        <v>491</v>
      </c>
      <c r="O16" s="34">
        <v>337</v>
      </c>
      <c r="P16" s="21"/>
      <c r="Q16" s="23"/>
      <c r="R16" s="23"/>
    </row>
    <row r="17" spans="1:18" x14ac:dyDescent="0.35">
      <c r="C17" s="16" t="s">
        <v>17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3345</v>
      </c>
      <c r="N17" s="16">
        <f t="shared" si="7"/>
        <v>1886</v>
      </c>
      <c r="O17" s="16">
        <f t="shared" si="7"/>
        <v>1337</v>
      </c>
      <c r="P17" s="21"/>
      <c r="Q17" s="24">
        <f>SUM(D17:O17)</f>
        <v>75831</v>
      </c>
      <c r="R17" s="23"/>
    </row>
    <row r="18" spans="1:18" x14ac:dyDescent="0.35">
      <c r="C18" t="s">
        <v>21</v>
      </c>
      <c r="D18" s="71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71">
        <f>SUM(D18:P18)</f>
        <v>80624.849999999991</v>
      </c>
      <c r="R18" s="23"/>
    </row>
    <row r="19" spans="1:18" s="72" customFormat="1" hidden="1" x14ac:dyDescent="0.35">
      <c r="B19" s="73"/>
      <c r="C19" s="72" t="s">
        <v>36</v>
      </c>
      <c r="D19" s="74">
        <f>D18*0.995</f>
        <v>2402.7906749999997</v>
      </c>
      <c r="E19" s="90">
        <f t="shared" ref="E19:O19" si="8">E18*0.995</f>
        <v>3719.523925</v>
      </c>
      <c r="F19" s="90">
        <f t="shared" si="8"/>
        <v>6821.27225</v>
      </c>
      <c r="G19" s="90">
        <f t="shared" si="8"/>
        <v>9078.5292499999996</v>
      </c>
      <c r="H19" s="90">
        <f t="shared" si="8"/>
        <v>10068.554249999999</v>
      </c>
      <c r="I19" s="90">
        <f t="shared" si="8"/>
        <v>10672.469500000001</v>
      </c>
      <c r="J19" s="90">
        <f t="shared" si="8"/>
        <v>11071.449574999999</v>
      </c>
      <c r="K19" s="90">
        <f t="shared" si="8"/>
        <v>9457.7088249999997</v>
      </c>
      <c r="L19" s="90">
        <f t="shared" si="8"/>
        <v>7430.1376250000003</v>
      </c>
      <c r="M19" s="90">
        <f t="shared" si="8"/>
        <v>4841.2222499999998</v>
      </c>
      <c r="N19" s="90">
        <f t="shared" si="8"/>
        <v>2704.7483000000002</v>
      </c>
      <c r="O19" s="90">
        <f t="shared" si="8"/>
        <v>1953.3193249999999</v>
      </c>
      <c r="P19" s="75"/>
      <c r="Q19" s="76"/>
      <c r="R19" s="76"/>
    </row>
    <row r="20" spans="1:18" s="7" customFormat="1" x14ac:dyDescent="0.35">
      <c r="A20" s="5"/>
      <c r="B20" s="6"/>
      <c r="C20" s="5" t="s">
        <v>16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-31.251348768381789</v>
      </c>
      <c r="N20" s="12">
        <f t="shared" si="9"/>
        <v>-30.619422147339918</v>
      </c>
      <c r="O20" s="12">
        <f t="shared" si="9"/>
        <v>-31.894648101123963</v>
      </c>
      <c r="P20" s="20">
        <f>Q17/(B16+B15+B14)</f>
        <v>881.75581395348843</v>
      </c>
      <c r="Q20" s="32"/>
      <c r="R20" s="26"/>
    </row>
    <row r="21" spans="1:18" x14ac:dyDescent="0.35">
      <c r="A21" s="7" t="s">
        <v>42</v>
      </c>
      <c r="B21" s="53">
        <v>36.799999999999997</v>
      </c>
      <c r="C21" t="s">
        <v>15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>
        <v>1580</v>
      </c>
      <c r="N21" s="34">
        <v>911</v>
      </c>
      <c r="O21" s="34">
        <v>633</v>
      </c>
      <c r="P21" s="21"/>
      <c r="Q21" s="23"/>
      <c r="R21" s="23"/>
    </row>
    <row r="22" spans="1:18" x14ac:dyDescent="0.35">
      <c r="A22" s="7" t="s">
        <v>43</v>
      </c>
      <c r="B22" s="53">
        <v>36.799999999999997</v>
      </c>
      <c r="C22" t="s">
        <v>15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>
        <v>1560</v>
      </c>
      <c r="N22" s="34">
        <v>898</v>
      </c>
      <c r="O22" s="34">
        <v>629</v>
      </c>
      <c r="P22" s="21"/>
      <c r="Q22" s="23"/>
      <c r="R22" s="23"/>
    </row>
    <row r="23" spans="1:18" x14ac:dyDescent="0.35">
      <c r="A23" s="7" t="s">
        <v>44</v>
      </c>
      <c r="B23" s="1">
        <v>21.6</v>
      </c>
      <c r="C23" t="s">
        <v>15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>
        <v>996</v>
      </c>
      <c r="N23" s="34">
        <v>517</v>
      </c>
      <c r="O23" s="34">
        <v>358</v>
      </c>
      <c r="P23" s="21"/>
      <c r="Q23" s="23"/>
      <c r="R23" s="23"/>
    </row>
    <row r="24" spans="1:18" x14ac:dyDescent="0.35">
      <c r="A24" s="7" t="s">
        <v>45</v>
      </c>
      <c r="B24" s="1">
        <v>21.6</v>
      </c>
      <c r="C24" t="s">
        <v>15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>
        <v>935</v>
      </c>
      <c r="N24" s="34">
        <v>548</v>
      </c>
      <c r="O24" s="34">
        <v>384</v>
      </c>
      <c r="P24" s="21"/>
      <c r="Q24" s="23"/>
      <c r="R24" s="23"/>
    </row>
    <row r="25" spans="1:18" x14ac:dyDescent="0.35">
      <c r="C25" s="16" t="s">
        <v>17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5071</v>
      </c>
      <c r="N25" s="16">
        <f t="shared" si="11"/>
        <v>2874</v>
      </c>
      <c r="O25" s="16">
        <f t="shared" si="11"/>
        <v>2004</v>
      </c>
      <c r="P25" s="21"/>
      <c r="Q25" s="24">
        <f>SUM(D25:O25)</f>
        <v>106182</v>
      </c>
      <c r="R25" s="23"/>
    </row>
    <row r="26" spans="1:18" x14ac:dyDescent="0.35">
      <c r="C26" t="s">
        <v>21</v>
      </c>
      <c r="D26" s="71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71">
        <f>SUM(D26:P26)</f>
        <v>110086.8</v>
      </c>
      <c r="R26" s="23"/>
    </row>
    <row r="27" spans="1:18" s="72" customFormat="1" hidden="1" x14ac:dyDescent="0.35">
      <c r="B27" s="73"/>
      <c r="C27" s="72" t="s">
        <v>36</v>
      </c>
      <c r="D27" s="74">
        <f>D26*0.995</f>
        <v>3385.8854999999999</v>
      </c>
      <c r="E27" s="90">
        <f t="shared" ref="E27:O27" si="12">E26*0.995</f>
        <v>5177.8307500000001</v>
      </c>
      <c r="F27" s="90">
        <f t="shared" si="12"/>
        <v>9375.5367499999993</v>
      </c>
      <c r="G27" s="90">
        <f t="shared" si="12"/>
        <v>12345.61175</v>
      </c>
      <c r="H27" s="90">
        <f t="shared" si="12"/>
        <v>13573.242750000001</v>
      </c>
      <c r="I27" s="90">
        <f t="shared" si="12"/>
        <v>14375.163</v>
      </c>
      <c r="J27" s="90">
        <f t="shared" si="12"/>
        <v>14919.676749999999</v>
      </c>
      <c r="K27" s="90">
        <f t="shared" si="12"/>
        <v>12840.624249999999</v>
      </c>
      <c r="L27" s="90">
        <f t="shared" si="12"/>
        <v>10187.357249999999</v>
      </c>
      <c r="M27" s="90">
        <f t="shared" si="12"/>
        <v>6732.17</v>
      </c>
      <c r="N27" s="90">
        <f t="shared" si="12"/>
        <v>3821.4964999999997</v>
      </c>
      <c r="O27" s="90">
        <f t="shared" si="12"/>
        <v>2801.7707499999997</v>
      </c>
      <c r="P27" s="75"/>
      <c r="Q27" s="76"/>
      <c r="R27" s="76"/>
    </row>
    <row r="28" spans="1:18" s="7" customFormat="1" x14ac:dyDescent="0.35">
      <c r="A28" s="5"/>
      <c r="B28" s="6"/>
      <c r="C28" s="5" t="s">
        <v>16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-25.051729234407333</v>
      </c>
      <c r="N28" s="12">
        <f t="shared" si="13"/>
        <v>-25.169890905303717</v>
      </c>
      <c r="O28" s="12">
        <f t="shared" si="13"/>
        <v>-28.831436333611521</v>
      </c>
      <c r="P28" s="20">
        <f>Q25/(B24+B23+B22+B21)</f>
        <v>909.09246575342468</v>
      </c>
      <c r="Q28" s="32"/>
      <c r="R28" s="26"/>
    </row>
    <row r="29" spans="1:18" x14ac:dyDescent="0.35">
      <c r="A29" s="7" t="s">
        <v>47</v>
      </c>
      <c r="B29" s="53">
        <v>32.799999999999997</v>
      </c>
      <c r="C29" t="s">
        <v>15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>
        <v>1410</v>
      </c>
      <c r="N29" s="34">
        <v>820</v>
      </c>
      <c r="O29" s="34">
        <v>587</v>
      </c>
      <c r="P29" s="21"/>
      <c r="Q29" s="23"/>
      <c r="R29" s="23"/>
    </row>
    <row r="30" spans="1:18" x14ac:dyDescent="0.35">
      <c r="A30" s="7" t="s">
        <v>46</v>
      </c>
      <c r="B30" s="1">
        <v>40.4</v>
      </c>
      <c r="C30" t="s">
        <v>15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>
        <v>1710</v>
      </c>
      <c r="N30" s="34">
        <v>988</v>
      </c>
      <c r="O30" s="34">
        <v>703</v>
      </c>
      <c r="P30" s="21"/>
      <c r="Q30" s="23"/>
      <c r="R30" s="23"/>
    </row>
    <row r="31" spans="1:18" x14ac:dyDescent="0.35">
      <c r="A31" s="7" t="s">
        <v>48</v>
      </c>
      <c r="B31" s="1">
        <v>22.8</v>
      </c>
      <c r="C31" t="s">
        <v>15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>
        <v>975</v>
      </c>
      <c r="N31" s="34">
        <v>561</v>
      </c>
      <c r="O31" s="34">
        <v>393</v>
      </c>
      <c r="P31" s="21"/>
      <c r="Q31" s="23"/>
      <c r="R31" s="23"/>
    </row>
    <row r="32" spans="1:18" x14ac:dyDescent="0.35">
      <c r="C32" s="16" t="s">
        <v>17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4095</v>
      </c>
      <c r="N32" s="16">
        <f t="shared" si="14"/>
        <v>2369</v>
      </c>
      <c r="O32" s="16">
        <f t="shared" si="14"/>
        <v>1683</v>
      </c>
      <c r="P32" s="21"/>
      <c r="Q32" s="24">
        <f>SUM(D32:O32)</f>
        <v>86199</v>
      </c>
      <c r="R32" s="23"/>
    </row>
    <row r="33" spans="1:18" x14ac:dyDescent="0.35">
      <c r="C33" t="s">
        <v>21</v>
      </c>
      <c r="D33" s="71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71">
        <f>SUM(D33:P33)</f>
        <v>88450.525000000009</v>
      </c>
      <c r="R33" s="23"/>
    </row>
    <row r="34" spans="1:18" s="72" customFormat="1" hidden="1" x14ac:dyDescent="0.35">
      <c r="B34" s="73"/>
      <c r="C34" s="72" t="s">
        <v>36</v>
      </c>
      <c r="D34" s="74">
        <f>D33*0.995</f>
        <v>2742.3692500000002</v>
      </c>
      <c r="E34" s="90">
        <f t="shared" ref="E34:O34" si="15">E33*0.995</f>
        <v>4158.1049999999996</v>
      </c>
      <c r="F34" s="90">
        <f t="shared" si="15"/>
        <v>7534.0902500000002</v>
      </c>
      <c r="G34" s="90">
        <f t="shared" si="15"/>
        <v>9920.0504999999994</v>
      </c>
      <c r="H34" s="90">
        <f t="shared" si="15"/>
        <v>10930.866024999999</v>
      </c>
      <c r="I34" s="90">
        <f t="shared" si="15"/>
        <v>11535.7713</v>
      </c>
      <c r="J34" s="90">
        <f t="shared" si="15"/>
        <v>12009.993274999999</v>
      </c>
      <c r="K34" s="90">
        <f t="shared" si="15"/>
        <v>10300.220099999999</v>
      </c>
      <c r="L34" s="90">
        <f t="shared" si="15"/>
        <v>8172.6563750000005</v>
      </c>
      <c r="M34" s="90">
        <f t="shared" si="15"/>
        <v>5388.7060750000001</v>
      </c>
      <c r="N34" s="90">
        <f t="shared" si="15"/>
        <v>3057.1972000000001</v>
      </c>
      <c r="O34" s="90">
        <f t="shared" si="15"/>
        <v>2258.2470249999997</v>
      </c>
      <c r="P34" s="75"/>
      <c r="Q34" s="76"/>
      <c r="R34" s="76"/>
    </row>
    <row r="35" spans="1:18" s="7" customFormat="1" x14ac:dyDescent="0.35">
      <c r="A35" s="5"/>
      <c r="B35" s="6"/>
      <c r="C35" s="5" t="s">
        <v>16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-24.387692642894791</v>
      </c>
      <c r="N35" s="12">
        <f t="shared" si="16"/>
        <v>-22.898169604499174</v>
      </c>
      <c r="O35" s="12">
        <f t="shared" si="16"/>
        <v>-25.845800682500624</v>
      </c>
      <c r="P35" s="20">
        <f>Q32/(B31+B30+B29)</f>
        <v>897.90625</v>
      </c>
      <c r="Q35" s="32"/>
      <c r="R35" s="26"/>
    </row>
    <row r="36" spans="1:18" x14ac:dyDescent="0.35">
      <c r="A36" s="7" t="s">
        <v>52</v>
      </c>
      <c r="B36" s="53">
        <v>43.05</v>
      </c>
      <c r="C36" t="s">
        <v>15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>
        <v>1880</v>
      </c>
      <c r="N36" s="34">
        <v>1010</v>
      </c>
      <c r="O36" s="34">
        <v>703</v>
      </c>
      <c r="P36" s="21"/>
      <c r="Q36" s="23"/>
      <c r="R36" s="23"/>
    </row>
    <row r="37" spans="1:18" x14ac:dyDescent="0.35">
      <c r="A37" s="7" t="s">
        <v>53</v>
      </c>
      <c r="B37" s="1">
        <v>23.37</v>
      </c>
      <c r="C37" t="s">
        <v>15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>
        <v>1030</v>
      </c>
      <c r="N37" s="34">
        <v>576</v>
      </c>
      <c r="O37" s="34">
        <v>398</v>
      </c>
      <c r="P37" s="21"/>
      <c r="Q37" s="23"/>
      <c r="R37" s="23"/>
    </row>
    <row r="38" spans="1:18" x14ac:dyDescent="0.35">
      <c r="C38" s="16" t="s">
        <v>17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2910</v>
      </c>
      <c r="N38" s="16">
        <f t="shared" si="17"/>
        <v>1586</v>
      </c>
      <c r="O38" s="16">
        <f t="shared" si="17"/>
        <v>1101</v>
      </c>
      <c r="P38" s="21"/>
      <c r="Q38" s="24">
        <f>SUM(D38:O38)</f>
        <v>64444</v>
      </c>
      <c r="R38" s="23"/>
    </row>
    <row r="39" spans="1:18" x14ac:dyDescent="0.35">
      <c r="C39" t="s">
        <v>21</v>
      </c>
      <c r="D39" s="71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72" customFormat="1" hidden="1" x14ac:dyDescent="0.35">
      <c r="B40" s="73"/>
      <c r="C40" s="72" t="s">
        <v>36</v>
      </c>
      <c r="D40" s="74">
        <f>D39*0.995</f>
        <v>1753.19</v>
      </c>
      <c r="E40" s="74">
        <f t="shared" ref="E40:O40" si="18">E39*0.995</f>
        <v>2759.1349999999998</v>
      </c>
      <c r="F40" s="74">
        <f t="shared" si="18"/>
        <v>5135.1949999999997</v>
      </c>
      <c r="G40" s="74">
        <f t="shared" si="18"/>
        <v>6969.9750000000004</v>
      </c>
      <c r="H40" s="74">
        <f t="shared" si="18"/>
        <v>7742.0950000000003</v>
      </c>
      <c r="I40" s="74">
        <f t="shared" si="18"/>
        <v>8299.2950000000001</v>
      </c>
      <c r="J40" s="74">
        <f t="shared" si="18"/>
        <v>8510.2350000000006</v>
      </c>
      <c r="K40" s="74">
        <f t="shared" si="18"/>
        <v>7259.5199999999995</v>
      </c>
      <c r="L40" s="74">
        <f t="shared" si="18"/>
        <v>5667.5199999999995</v>
      </c>
      <c r="M40" s="74">
        <f t="shared" si="18"/>
        <v>3683.49</v>
      </c>
      <c r="N40" s="74">
        <f t="shared" si="18"/>
        <v>2042.7349999999999</v>
      </c>
      <c r="O40" s="74">
        <f t="shared" si="18"/>
        <v>1462.65</v>
      </c>
      <c r="P40" s="75"/>
      <c r="Q40" s="76"/>
      <c r="R40" s="76"/>
    </row>
    <row r="41" spans="1:18" s="7" customFormat="1" x14ac:dyDescent="0.35">
      <c r="A41" s="5"/>
      <c r="B41" s="6"/>
      <c r="C41" s="5" t="s">
        <v>16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-21.393841166936795</v>
      </c>
      <c r="N41" s="12">
        <f t="shared" si="19"/>
        <v>-22.747199220652703</v>
      </c>
      <c r="O41" s="12">
        <f t="shared" si="19"/>
        <v>-25.102040816326536</v>
      </c>
      <c r="P41" s="20">
        <f>Q38/(B37+B36)</f>
        <v>970.24992472146937</v>
      </c>
      <c r="Q41" s="32"/>
      <c r="R41" s="26"/>
    </row>
    <row r="42" spans="1:18" s="7" customFormat="1" x14ac:dyDescent="0.35">
      <c r="B42" s="10"/>
      <c r="D42" s="24"/>
      <c r="P42" s="22"/>
      <c r="Q42" s="24"/>
      <c r="R42" s="24"/>
    </row>
    <row r="43" spans="1:18" s="9" customFormat="1" ht="15.5" x14ac:dyDescent="0.35">
      <c r="A43" s="44" t="s">
        <v>41</v>
      </c>
      <c r="B43" s="45">
        <f>SUM(B2:B37)</f>
        <v>463.6400000000001</v>
      </c>
      <c r="C43" s="46" t="s">
        <v>25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19004</v>
      </c>
      <c r="N43" s="44">
        <f t="shared" si="21"/>
        <v>10671</v>
      </c>
      <c r="O43" s="44">
        <f t="shared" si="21"/>
        <v>7514</v>
      </c>
      <c r="P43" s="47">
        <f>Q43/B43</f>
        <v>888.37244413769281</v>
      </c>
      <c r="Q43" s="68">
        <f>Q2+Q10+Q17+Q25+Q32+Q38</f>
        <v>411885</v>
      </c>
      <c r="R43" s="48"/>
    </row>
    <row r="44" spans="1:18" ht="15.5" x14ac:dyDescent="0.35">
      <c r="A44" s="23"/>
      <c r="C44" s="49" t="s">
        <v>26</v>
      </c>
      <c r="D44" s="78">
        <f t="shared" ref="D44:L44" si="22">D11+D3+D18+D26+D33+D39</f>
        <v>13112.935125</v>
      </c>
      <c r="E44" s="78">
        <f t="shared" si="22"/>
        <v>20233.344575000003</v>
      </c>
      <c r="F44" s="78">
        <f>F11+F3+F18+F26+F33+F39</f>
        <v>37075.893649999998</v>
      </c>
      <c r="G44" s="78">
        <f t="shared" si="22"/>
        <v>49364.304175000005</v>
      </c>
      <c r="H44" s="78">
        <f t="shared" si="22"/>
        <v>54639.360849999997</v>
      </c>
      <c r="I44" s="78">
        <f t="shared" si="22"/>
        <v>57993.415374999997</v>
      </c>
      <c r="J44" s="78">
        <f t="shared" si="22"/>
        <v>60105.467375</v>
      </c>
      <c r="K44" s="78">
        <f t="shared" si="22"/>
        <v>51417.911850000004</v>
      </c>
      <c r="L44" s="78">
        <f t="shared" si="22"/>
        <v>40432.912649999998</v>
      </c>
      <c r="M44" s="78">
        <f t="shared" ref="M44:O44" si="23">M11+M3+M18+M26+M33+M39</f>
        <v>26420.198199999999</v>
      </c>
      <c r="N44" s="78">
        <f t="shared" si="23"/>
        <v>14839.809674999999</v>
      </c>
      <c r="O44" s="78">
        <f t="shared" si="23"/>
        <v>10774.846974999999</v>
      </c>
      <c r="P44" s="91"/>
      <c r="Q44" s="67">
        <f>SUM(D44:O44)</f>
        <v>436410.40047499997</v>
      </c>
      <c r="R44" s="51"/>
    </row>
    <row r="45" spans="1:18" x14ac:dyDescent="0.35">
      <c r="A45" s="23"/>
      <c r="B45"/>
      <c r="C45" s="14" t="s">
        <v>16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-28.070183818681571</v>
      </c>
      <c r="N45" s="15">
        <f t="shared" ref="N45:O45" si="25">N43/N44*100-100</f>
        <v>-28.092069684849236</v>
      </c>
      <c r="O45" s="15">
        <f t="shared" si="25"/>
        <v>-30.263510772504489</v>
      </c>
      <c r="P45" s="23"/>
      <c r="Q45" s="23"/>
      <c r="R45" s="52"/>
    </row>
    <row r="46" spans="1:18" x14ac:dyDescent="0.35">
      <c r="A46" s="23"/>
      <c r="B46"/>
      <c r="C46" s="81" t="s">
        <v>49</v>
      </c>
      <c r="D46" s="82">
        <f>D43/B43</f>
        <v>18.085152273315501</v>
      </c>
      <c r="E46" s="83">
        <f>E43/B43</f>
        <v>45.034940902424282</v>
      </c>
      <c r="F46" s="83">
        <f>F43/B43</f>
        <v>74.730394271417467</v>
      </c>
      <c r="G46" s="83">
        <f>G43/B43</f>
        <v>97.036493831420913</v>
      </c>
      <c r="H46" s="83">
        <f>H43/B43</f>
        <v>115.47752566646534</v>
      </c>
      <c r="I46" s="83">
        <f>I43/B43</f>
        <v>113.6657751703908</v>
      </c>
      <c r="J46" s="83">
        <f>J43/B43</f>
        <v>135.42403588991456</v>
      </c>
      <c r="K46" s="83">
        <f>K43/B43</f>
        <v>129.0009490121646</v>
      </c>
      <c r="L46" s="83">
        <f>L43/B43</f>
        <v>79.706237598136468</v>
      </c>
      <c r="M46" s="83">
        <f>M43/B43</f>
        <v>40.988698127857809</v>
      </c>
      <c r="N46" s="83">
        <f>N43/B43</f>
        <v>23.015701837632641</v>
      </c>
      <c r="O46" s="83">
        <f>O43/B43</f>
        <v>16.206539556552496</v>
      </c>
      <c r="P46" s="23"/>
      <c r="Q46" s="23"/>
      <c r="R46" s="52"/>
    </row>
    <row r="47" spans="1:18" x14ac:dyDescent="0.3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>
        <f>1470/B47</f>
        <v>33.816425120772948</v>
      </c>
      <c r="N47" s="41">
        <f>780/B47</f>
        <v>17.943409247757074</v>
      </c>
      <c r="O47" s="41">
        <f>571/B47</f>
        <v>13.135495744191397</v>
      </c>
      <c r="P47" s="43">
        <f>Q47/B47</f>
        <v>850.24154589371983</v>
      </c>
      <c r="Q47" s="69">
        <v>36960</v>
      </c>
      <c r="R47" s="52"/>
    </row>
    <row r="48" spans="1:18" x14ac:dyDescent="0.35">
      <c r="A48" s="23"/>
      <c r="B48"/>
      <c r="C48" s="38" t="s">
        <v>18</v>
      </c>
      <c r="D48" s="87">
        <v>32.735999999999997</v>
      </c>
      <c r="E48" s="85">
        <v>50.808</v>
      </c>
      <c r="F48" s="85">
        <v>87.048000000000002</v>
      </c>
      <c r="G48" s="85">
        <v>117.36</v>
      </c>
      <c r="H48" s="85">
        <v>140.61600000000001</v>
      </c>
      <c r="I48" s="85">
        <v>145.44</v>
      </c>
      <c r="J48" s="16"/>
      <c r="K48" s="16"/>
      <c r="L48" s="16"/>
      <c r="M48" s="16"/>
      <c r="N48" s="16"/>
      <c r="O48" s="16"/>
      <c r="P48" s="23"/>
      <c r="Q48" s="23"/>
      <c r="R48" s="86">
        <f>SUM(D48:Q48)</f>
        <v>574.00800000000004</v>
      </c>
    </row>
    <row r="49" spans="1:18" x14ac:dyDescent="0.35">
      <c r="A49" s="54"/>
      <c r="B49" s="55"/>
      <c r="C49" s="56" t="s">
        <v>19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>
        <v>136</v>
      </c>
      <c r="M49" s="58">
        <v>64</v>
      </c>
      <c r="N49" s="58">
        <v>69</v>
      </c>
      <c r="O49" s="55">
        <v>30</v>
      </c>
      <c r="P49" s="54"/>
      <c r="Q49" s="54">
        <f>SUM(D49:P49)</f>
        <v>1507</v>
      </c>
      <c r="R49" s="59"/>
    </row>
    <row r="50" spans="1:18" x14ac:dyDescent="0.3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5" x14ac:dyDescent="0.35">
      <c r="A51" s="17" t="s">
        <v>22</v>
      </c>
      <c r="B51" s="37" t="s">
        <v>24</v>
      </c>
    </row>
    <row r="53" spans="1:18" x14ac:dyDescent="0.35">
      <c r="A53" s="80"/>
    </row>
    <row r="54" spans="1:18" x14ac:dyDescent="0.35">
      <c r="A54" s="8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 x14ac:dyDescent="0.35">
      <c r="A55" s="80"/>
    </row>
    <row r="56" spans="1:18" x14ac:dyDescent="0.35">
      <c r="A56" s="80"/>
    </row>
    <row r="57" spans="1:18" x14ac:dyDescent="0.35">
      <c r="A57" s="80"/>
    </row>
    <row r="58" spans="1:18" x14ac:dyDescent="0.35">
      <c r="A58" s="80"/>
    </row>
    <row r="59" spans="1:18" x14ac:dyDescent="0.35">
      <c r="A59" s="80"/>
    </row>
    <row r="60" spans="1:18" x14ac:dyDescent="0.35">
      <c r="A60" s="80"/>
    </row>
    <row r="61" spans="1:18" x14ac:dyDescent="0.35">
      <c r="A61" s="80"/>
    </row>
    <row r="62" spans="1:18" x14ac:dyDescent="0.35">
      <c r="A62" s="80"/>
    </row>
    <row r="63" spans="1:18" x14ac:dyDescent="0.35">
      <c r="A63" s="80"/>
    </row>
    <row r="64" spans="1:18" x14ac:dyDescent="0.35">
      <c r="A64" s="80"/>
    </row>
    <row r="65" spans="1:1" x14ac:dyDescent="0.35">
      <c r="A65" s="80"/>
    </row>
    <row r="66" spans="1:1" x14ac:dyDescent="0.35">
      <c r="A66" s="80"/>
    </row>
    <row r="67" spans="1:1" x14ac:dyDescent="0.35">
      <c r="A67" s="80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topLeftCell="A9" zoomScaleNormal="100" zoomScalePageLayoutView="70" workbookViewId="0">
      <selection activeCell="J48" sqref="J48"/>
    </sheetView>
  </sheetViews>
  <sheetFormatPr baseColWidth="10" defaultRowHeight="14.5" x14ac:dyDescent="0.35"/>
  <cols>
    <col min="1" max="1" width="19.453125" bestFit="1" customWidth="1"/>
    <col min="2" max="2" width="9.453125" style="1" customWidth="1"/>
    <col min="3" max="3" width="25" customWidth="1"/>
    <col min="4" max="15" width="11.54296875" customWidth="1"/>
    <col min="16" max="16" width="18.54296875" style="4" bestFit="1" customWidth="1"/>
    <col min="17" max="17" width="10.81640625" customWidth="1"/>
    <col min="18" max="18" width="27.1796875" bestFit="1" customWidth="1"/>
  </cols>
  <sheetData>
    <row r="1" spans="1:18" ht="29.15" customHeight="1" x14ac:dyDescent="0.35">
      <c r="A1" s="2"/>
      <c r="B1" s="3" t="s">
        <v>20</v>
      </c>
      <c r="C1" s="79" t="s">
        <v>37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70" t="s">
        <v>14</v>
      </c>
      <c r="R1" s="25" t="s">
        <v>12</v>
      </c>
    </row>
    <row r="2" spans="1:18" x14ac:dyDescent="0.35">
      <c r="A2" s="7" t="s">
        <v>31</v>
      </c>
      <c r="B2" s="1">
        <v>45.14</v>
      </c>
      <c r="C2" t="s">
        <v>15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 x14ac:dyDescent="0.35">
      <c r="C3" t="s">
        <v>21</v>
      </c>
      <c r="D3" s="71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72" customFormat="1" hidden="1" x14ac:dyDescent="0.35">
      <c r="B4" s="73"/>
      <c r="C4" s="72" t="s">
        <v>36</v>
      </c>
      <c r="D4" s="74">
        <f>D3*0.995</f>
        <v>1323.663425</v>
      </c>
      <c r="E4" s="74">
        <f t="shared" ref="E4:O4" si="0">E3*0.995</f>
        <v>2050.3417749999999</v>
      </c>
      <c r="F4" s="74">
        <f t="shared" si="0"/>
        <v>3779.91545</v>
      </c>
      <c r="G4" s="74">
        <f t="shared" si="0"/>
        <v>5060.0177749999993</v>
      </c>
      <c r="H4" s="74">
        <f t="shared" si="0"/>
        <v>5617.4018500000002</v>
      </c>
      <c r="I4" s="74">
        <f t="shared" si="0"/>
        <v>5970.8407750000006</v>
      </c>
      <c r="J4" s="74">
        <f t="shared" si="0"/>
        <v>6196.5664749999996</v>
      </c>
      <c r="K4" s="74">
        <f t="shared" si="0"/>
        <v>5284.7534500000002</v>
      </c>
      <c r="L4" s="74">
        <f t="shared" si="0"/>
        <v>4124.4441500000003</v>
      </c>
      <c r="M4" s="74">
        <f t="shared" si="0"/>
        <v>2673.0675000000001</v>
      </c>
      <c r="N4" s="74">
        <f t="shared" si="0"/>
        <v>1495.9277749999999</v>
      </c>
      <c r="O4" s="74">
        <f t="shared" si="0"/>
        <v>1076.1571750000001</v>
      </c>
      <c r="P4" s="77"/>
      <c r="Q4" s="76"/>
      <c r="R4" s="76"/>
    </row>
    <row r="5" spans="1:18" s="7" customFormat="1" x14ac:dyDescent="0.35">
      <c r="A5" s="5"/>
      <c r="B5" s="6"/>
      <c r="C5" s="5" t="s">
        <v>16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 x14ac:dyDescent="0.35">
      <c r="A6" s="7" t="s">
        <v>27</v>
      </c>
      <c r="B6" s="1">
        <v>13.32</v>
      </c>
      <c r="C6" t="s">
        <v>15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 x14ac:dyDescent="0.35">
      <c r="A7" s="7" t="s">
        <v>28</v>
      </c>
      <c r="B7" s="1">
        <v>13.32</v>
      </c>
      <c r="C7" t="s">
        <v>15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 x14ac:dyDescent="0.35">
      <c r="A8" s="7" t="s">
        <v>29</v>
      </c>
      <c r="B8" s="1">
        <v>13.32</v>
      </c>
      <c r="C8" t="s">
        <v>15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 x14ac:dyDescent="0.35">
      <c r="A9" s="7" t="s">
        <v>30</v>
      </c>
      <c r="B9" s="1">
        <v>13.32</v>
      </c>
      <c r="C9" t="s">
        <v>15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 x14ac:dyDescent="0.35">
      <c r="C10" s="16" t="s">
        <v>17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 x14ac:dyDescent="0.35">
      <c r="C11" t="s">
        <v>21</v>
      </c>
      <c r="D11" s="71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72" customFormat="1" hidden="1" x14ac:dyDescent="0.35">
      <c r="B12" s="73"/>
      <c r="C12" s="72" t="s">
        <v>36</v>
      </c>
      <c r="D12" s="74">
        <f>D11*0.995</f>
        <v>1453.3567</v>
      </c>
      <c r="E12" s="74">
        <f t="shared" ref="E12" si="5">E11*0.995</f>
        <v>2288.9378000000002</v>
      </c>
      <c r="F12" s="74">
        <f t="shared" ref="F12" si="6">F11*0.995</f>
        <v>4284.8281999999999</v>
      </c>
      <c r="G12" s="74">
        <f t="shared" ref="G12" si="7">G11*0.995</f>
        <v>5797.5864000000001</v>
      </c>
      <c r="H12" s="74">
        <f t="shared" ref="H12" si="8">H11*0.995</f>
        <v>6494.5639999999994</v>
      </c>
      <c r="I12" s="74">
        <f t="shared" ref="I12" si="9">I11*0.995</f>
        <v>6914.3346000000001</v>
      </c>
      <c r="J12" s="74">
        <f t="shared" ref="J12" si="10">J11*0.995</f>
        <v>7163.8208999999997</v>
      </c>
      <c r="K12" s="74">
        <f t="shared" ref="K12" si="11">K11*0.995</f>
        <v>6074.7933999999996</v>
      </c>
      <c r="L12" s="74">
        <f t="shared" ref="L12" si="12">L11*0.995</f>
        <v>4692.7184999999999</v>
      </c>
      <c r="M12" s="74">
        <f t="shared" ref="M12" si="13">M11*0.995</f>
        <v>2997.7957000000001</v>
      </c>
      <c r="N12" s="74">
        <f t="shared" ref="N12" si="14">N11*0.995</f>
        <v>1659.2819</v>
      </c>
      <c r="O12" s="74">
        <f t="shared" ref="O12" si="15">O11*0.995</f>
        <v>1180.1098</v>
      </c>
      <c r="P12" s="75"/>
      <c r="Q12" s="76"/>
      <c r="R12" s="76"/>
    </row>
    <row r="13" spans="1:18" s="7" customFormat="1" x14ac:dyDescent="0.35">
      <c r="A13" s="5"/>
      <c r="B13" s="6"/>
      <c r="C13" s="5" t="s">
        <v>16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 x14ac:dyDescent="0.35">
      <c r="A14" s="7" t="s">
        <v>38</v>
      </c>
      <c r="B14" s="53">
        <v>20</v>
      </c>
      <c r="C14" t="s">
        <v>15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 x14ac:dyDescent="0.35">
      <c r="A15" s="7" t="s">
        <v>39</v>
      </c>
      <c r="B15" s="1">
        <v>45.2</v>
      </c>
      <c r="C15" t="s">
        <v>15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 x14ac:dyDescent="0.35">
      <c r="A16" s="7" t="s">
        <v>40</v>
      </c>
      <c r="B16" s="1">
        <v>20.8</v>
      </c>
      <c r="C16" t="s">
        <v>15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 x14ac:dyDescent="0.35">
      <c r="C17" s="16" t="s">
        <v>17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51</v>
      </c>
    </row>
    <row r="18" spans="1:18" x14ac:dyDescent="0.35">
      <c r="C18" t="s">
        <v>21</v>
      </c>
      <c r="D18" s="71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72" customFormat="1" hidden="1" x14ac:dyDescent="0.35">
      <c r="B19" s="73"/>
      <c r="C19" s="72" t="s">
        <v>36</v>
      </c>
      <c r="D19" s="74">
        <f>D18*0.995</f>
        <v>2414.8649999999998</v>
      </c>
      <c r="E19" s="74">
        <f t="shared" ref="E19:O19" si="18">E18*0.995</f>
        <v>3738.2150000000001</v>
      </c>
      <c r="F19" s="74">
        <f t="shared" si="18"/>
        <v>6855.55</v>
      </c>
      <c r="G19" s="74">
        <f t="shared" si="18"/>
        <v>9124.15</v>
      </c>
      <c r="H19" s="74">
        <f t="shared" si="18"/>
        <v>10119.15</v>
      </c>
      <c r="I19" s="74">
        <f t="shared" si="18"/>
        <v>10726.1</v>
      </c>
      <c r="J19" s="74">
        <f t="shared" si="18"/>
        <v>11127.084999999999</v>
      </c>
      <c r="K19" s="74">
        <f t="shared" si="18"/>
        <v>9505.2350000000006</v>
      </c>
      <c r="L19" s="74">
        <f t="shared" si="18"/>
        <v>7467.4750000000004</v>
      </c>
      <c r="M19" s="74">
        <f t="shared" si="18"/>
        <v>4865.55</v>
      </c>
      <c r="N19" s="74">
        <f t="shared" si="18"/>
        <v>2718.34</v>
      </c>
      <c r="O19" s="74">
        <f t="shared" si="18"/>
        <v>1963.135</v>
      </c>
      <c r="P19" s="75"/>
      <c r="Q19" s="76"/>
      <c r="R19" s="76"/>
    </row>
    <row r="20" spans="1:18" s="7" customFormat="1" x14ac:dyDescent="0.35">
      <c r="A20" s="5"/>
      <c r="B20" s="6"/>
      <c r="C20" s="5" t="s">
        <v>16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 x14ac:dyDescent="0.35">
      <c r="A21" s="7" t="s">
        <v>42</v>
      </c>
      <c r="B21" s="53">
        <v>36.799999999999997</v>
      </c>
      <c r="C21" t="s">
        <v>15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 x14ac:dyDescent="0.35">
      <c r="A22" s="7" t="s">
        <v>43</v>
      </c>
      <c r="B22" s="53">
        <v>36.799999999999997</v>
      </c>
      <c r="C22" t="s">
        <v>15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 x14ac:dyDescent="0.35">
      <c r="A23" s="7" t="s">
        <v>44</v>
      </c>
      <c r="B23" s="1">
        <v>21.6</v>
      </c>
      <c r="C23" t="s">
        <v>15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 x14ac:dyDescent="0.35">
      <c r="A24" s="7" t="s">
        <v>45</v>
      </c>
      <c r="B24" s="1">
        <v>21.6</v>
      </c>
      <c r="C24" t="s">
        <v>15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 x14ac:dyDescent="0.35">
      <c r="C25" s="16" t="s">
        <v>17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51</v>
      </c>
    </row>
    <row r="26" spans="1:18" x14ac:dyDescent="0.35">
      <c r="C26" t="s">
        <v>21</v>
      </c>
      <c r="D26" s="71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72" customFormat="1" hidden="1" x14ac:dyDescent="0.35">
      <c r="B27" s="73"/>
      <c r="C27" s="72" t="s">
        <v>36</v>
      </c>
      <c r="D27" s="74">
        <f>D26*0.995</f>
        <v>3402.9</v>
      </c>
      <c r="E27" s="74">
        <f t="shared" ref="E27:O27" si="22">E26*0.995</f>
        <v>5203.8500000000004</v>
      </c>
      <c r="F27" s="74">
        <f t="shared" si="22"/>
        <v>9422.65</v>
      </c>
      <c r="G27" s="74">
        <f t="shared" si="22"/>
        <v>12407.65</v>
      </c>
      <c r="H27" s="74">
        <f t="shared" si="22"/>
        <v>13641.45</v>
      </c>
      <c r="I27" s="74">
        <f t="shared" si="22"/>
        <v>14447.4</v>
      </c>
      <c r="J27" s="74">
        <f t="shared" si="22"/>
        <v>14994.65</v>
      </c>
      <c r="K27" s="74">
        <f t="shared" si="22"/>
        <v>12905.15</v>
      </c>
      <c r="L27" s="74">
        <f t="shared" si="22"/>
        <v>10238.549999999999</v>
      </c>
      <c r="M27" s="74">
        <f t="shared" si="22"/>
        <v>6766</v>
      </c>
      <c r="N27" s="74">
        <f t="shared" si="22"/>
        <v>3840.7</v>
      </c>
      <c r="O27" s="74">
        <f t="shared" si="22"/>
        <v>2815.85</v>
      </c>
      <c r="P27" s="75"/>
      <c r="Q27" s="76"/>
      <c r="R27" s="76"/>
    </row>
    <row r="28" spans="1:18" s="7" customFormat="1" x14ac:dyDescent="0.35">
      <c r="A28" s="5"/>
      <c r="B28" s="6"/>
      <c r="C28" s="5" t="s">
        <v>16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 x14ac:dyDescent="0.35">
      <c r="A29" s="7" t="s">
        <v>47</v>
      </c>
      <c r="B29" s="53">
        <v>32.799999999999997</v>
      </c>
      <c r="C29" t="s">
        <v>15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 x14ac:dyDescent="0.35">
      <c r="A30" s="7" t="s">
        <v>46</v>
      </c>
      <c r="B30" s="1">
        <v>40.4</v>
      </c>
      <c r="C30" t="s">
        <v>15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 x14ac:dyDescent="0.35">
      <c r="A31" s="7" t="s">
        <v>48</v>
      </c>
      <c r="B31" s="1">
        <v>22.8</v>
      </c>
      <c r="C31" t="s">
        <v>15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 x14ac:dyDescent="0.35">
      <c r="C32" s="16" t="s">
        <v>17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51</v>
      </c>
    </row>
    <row r="33" spans="1:18" x14ac:dyDescent="0.35">
      <c r="C33" t="s">
        <v>21</v>
      </c>
      <c r="D33" s="71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72" customFormat="1" hidden="1" x14ac:dyDescent="0.35">
      <c r="B34" s="73"/>
      <c r="C34" s="72" t="s">
        <v>36</v>
      </c>
      <c r="D34" s="74">
        <f>D33*0.995</f>
        <v>2756.15</v>
      </c>
      <c r="E34" s="74">
        <f t="shared" ref="E34:O34" si="25">E33*0.995</f>
        <v>4179</v>
      </c>
      <c r="F34" s="74">
        <f t="shared" si="25"/>
        <v>7571.95</v>
      </c>
      <c r="G34" s="74">
        <f t="shared" si="25"/>
        <v>9969.9</v>
      </c>
      <c r="H34" s="74">
        <f t="shared" si="25"/>
        <v>10985.795</v>
      </c>
      <c r="I34" s="74">
        <f t="shared" si="25"/>
        <v>11593.74</v>
      </c>
      <c r="J34" s="74">
        <f t="shared" si="25"/>
        <v>12070.344999999999</v>
      </c>
      <c r="K34" s="74">
        <f t="shared" si="25"/>
        <v>10351.98</v>
      </c>
      <c r="L34" s="74">
        <f t="shared" si="25"/>
        <v>8213.7250000000004</v>
      </c>
      <c r="M34" s="74">
        <f t="shared" si="25"/>
        <v>5415.7849999999999</v>
      </c>
      <c r="N34" s="74">
        <f t="shared" si="25"/>
        <v>3072.56</v>
      </c>
      <c r="O34" s="74">
        <f t="shared" si="25"/>
        <v>2269.5949999999998</v>
      </c>
      <c r="P34" s="75"/>
      <c r="Q34" s="76"/>
      <c r="R34" s="76"/>
    </row>
    <row r="35" spans="1:18" s="7" customFormat="1" x14ac:dyDescent="0.35">
      <c r="A35" s="5"/>
      <c r="B35" s="6"/>
      <c r="C35" s="5" t="s">
        <v>16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 x14ac:dyDescent="0.35">
      <c r="A36" s="7" t="s">
        <v>52</v>
      </c>
      <c r="B36" s="53">
        <v>43.05</v>
      </c>
      <c r="C36" t="s">
        <v>15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 x14ac:dyDescent="0.35">
      <c r="A37" s="7" t="s">
        <v>53</v>
      </c>
      <c r="B37" s="1">
        <v>23.37</v>
      </c>
      <c r="C37" t="s">
        <v>15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 x14ac:dyDescent="0.35">
      <c r="C38" s="16" t="s">
        <v>17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54</v>
      </c>
    </row>
    <row r="39" spans="1:18" x14ac:dyDescent="0.35">
      <c r="C39" t="s">
        <v>21</v>
      </c>
      <c r="D39" s="71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72" customFormat="1" hidden="1" x14ac:dyDescent="0.35">
      <c r="B40" s="73"/>
      <c r="C40" s="72" t="s">
        <v>36</v>
      </c>
      <c r="D40" s="74">
        <f>D39*0.995</f>
        <v>1753.19</v>
      </c>
      <c r="E40" s="74">
        <f t="shared" ref="E40:O40" si="28">E39*0.995</f>
        <v>2759.1349999999998</v>
      </c>
      <c r="F40" s="74">
        <f t="shared" si="28"/>
        <v>5135.1949999999997</v>
      </c>
      <c r="G40" s="74">
        <f t="shared" si="28"/>
        <v>6969.9750000000004</v>
      </c>
      <c r="H40" s="74">
        <f t="shared" si="28"/>
        <v>7742.0950000000003</v>
      </c>
      <c r="I40" s="74">
        <f t="shared" si="28"/>
        <v>8299.2950000000001</v>
      </c>
      <c r="J40" s="74">
        <f t="shared" si="28"/>
        <v>8510.2350000000006</v>
      </c>
      <c r="K40" s="74">
        <f t="shared" si="28"/>
        <v>7259.5199999999995</v>
      </c>
      <c r="L40" s="74">
        <f t="shared" si="28"/>
        <v>5667.5199999999995</v>
      </c>
      <c r="M40" s="74">
        <f t="shared" si="28"/>
        <v>3683.49</v>
      </c>
      <c r="N40" s="74">
        <f t="shared" si="28"/>
        <v>2042.7349999999999</v>
      </c>
      <c r="O40" s="74">
        <f t="shared" si="28"/>
        <v>1462.65</v>
      </c>
      <c r="P40" s="75"/>
      <c r="Q40" s="76"/>
      <c r="R40" s="76"/>
    </row>
    <row r="41" spans="1:18" s="7" customFormat="1" x14ac:dyDescent="0.35">
      <c r="A41" s="5"/>
      <c r="B41" s="6"/>
      <c r="C41" s="5" t="s">
        <v>16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 x14ac:dyDescent="0.35">
      <c r="B42" s="10"/>
      <c r="D42" s="24"/>
      <c r="P42" s="22"/>
      <c r="Q42" s="24"/>
      <c r="R42" s="24"/>
    </row>
    <row r="43" spans="1:18" s="9" customFormat="1" ht="15.5" x14ac:dyDescent="0.35">
      <c r="A43" s="44" t="s">
        <v>41</v>
      </c>
      <c r="B43" s="45">
        <f>SUM(B2:B33)</f>
        <v>397.22000000000008</v>
      </c>
      <c r="C43" s="46" t="s">
        <v>25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8">
        <f>Q2+Q10+Q17+Q25+Q32</f>
        <v>400816</v>
      </c>
      <c r="R43" s="48"/>
    </row>
    <row r="44" spans="1:18" ht="15.5" x14ac:dyDescent="0.35">
      <c r="A44" s="23"/>
      <c r="C44" s="49" t="s">
        <v>26</v>
      </c>
      <c r="D44" s="78">
        <f>D11+D3</f>
        <v>2790.9750000000004</v>
      </c>
      <c r="E44" s="78">
        <f t="shared" ref="E44:M44" si="31">E11+E3+E18+E26+E33</f>
        <v>17548.084999999999</v>
      </c>
      <c r="F44" s="78">
        <f t="shared" si="31"/>
        <v>32075.27</v>
      </c>
      <c r="G44" s="78">
        <f t="shared" si="31"/>
        <v>42572.165000000001</v>
      </c>
      <c r="H44" s="78">
        <f t="shared" si="31"/>
        <v>47093.83</v>
      </c>
      <c r="I44" s="78">
        <f t="shared" si="31"/>
        <v>49901.925000000003</v>
      </c>
      <c r="J44" s="78">
        <f t="shared" si="31"/>
        <v>51811.525000000001</v>
      </c>
      <c r="K44" s="78">
        <f t="shared" si="31"/>
        <v>44343.630000000005</v>
      </c>
      <c r="L44" s="78">
        <f t="shared" si="31"/>
        <v>34911.47</v>
      </c>
      <c r="M44" s="78">
        <f t="shared" si="31"/>
        <v>22832.36</v>
      </c>
      <c r="N44" s="78">
        <f>N11+N3+N18+N26+N33+N39</f>
        <v>14904.064999999999</v>
      </c>
      <c r="O44" s="78">
        <f>O11+O3+O18+O26+O33+O39</f>
        <v>10821.605</v>
      </c>
      <c r="P44" s="50"/>
      <c r="Q44" s="67">
        <f>SUM(D44:O44)</f>
        <v>371606.90499999997</v>
      </c>
      <c r="R44" s="51"/>
    </row>
    <row r="45" spans="1:18" x14ac:dyDescent="0.35">
      <c r="A45" s="23"/>
      <c r="B45"/>
      <c r="C45" s="14" t="s">
        <v>16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 x14ac:dyDescent="0.35">
      <c r="A46" s="23"/>
      <c r="B46"/>
      <c r="C46" s="81" t="s">
        <v>49</v>
      </c>
      <c r="D46" s="83">
        <f>D43/B43</f>
        <v>4.09093197724183</v>
      </c>
      <c r="E46" s="83">
        <f>E43/B43</f>
        <v>41.855898494537023</v>
      </c>
      <c r="F46" s="83">
        <f>F43/B43</f>
        <v>76.008257388852513</v>
      </c>
      <c r="G46" s="83">
        <f>G43/B43</f>
        <v>101.0447610895725</v>
      </c>
      <c r="H46" s="83">
        <f>H43/B43</f>
        <v>127.72519007099338</v>
      </c>
      <c r="I46" s="83">
        <f>I43/B43</f>
        <v>172.12376013292379</v>
      </c>
      <c r="J46" s="83">
        <f>J43/B43</f>
        <v>147.24334122148932</v>
      </c>
      <c r="K46" s="83">
        <f>K43/B43</f>
        <v>121.50445596898442</v>
      </c>
      <c r="L46" s="83">
        <f>L43/B43</f>
        <v>111.79447157746334</v>
      </c>
      <c r="M46" s="83">
        <f>M43/B43</f>
        <v>67.572126277629508</v>
      </c>
      <c r="N46" s="83">
        <f>N43/B43</f>
        <v>28.417501636372783</v>
      </c>
      <c r="O46" s="83">
        <f>O43/B43</f>
        <v>17.489048889783994</v>
      </c>
      <c r="P46" s="23"/>
      <c r="Q46" s="23"/>
      <c r="R46" s="52"/>
    </row>
    <row r="47" spans="1:18" x14ac:dyDescent="0.35">
      <c r="A47" s="23" t="s">
        <v>32</v>
      </c>
      <c r="B47" s="53">
        <v>43.47</v>
      </c>
      <c r="C47" s="39" t="s">
        <v>50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9">
        <v>36960</v>
      </c>
      <c r="R47" s="52"/>
    </row>
    <row r="48" spans="1:18" x14ac:dyDescent="0.35">
      <c r="A48" s="23"/>
      <c r="B48"/>
      <c r="C48" s="38" t="s">
        <v>18</v>
      </c>
      <c r="D48" s="87">
        <v>24.552</v>
      </c>
      <c r="E48" s="85">
        <v>60.48</v>
      </c>
      <c r="F48" s="85">
        <v>84.072000000000003</v>
      </c>
      <c r="G48" s="85">
        <v>111.6</v>
      </c>
      <c r="H48" s="85">
        <v>149.54400000000001</v>
      </c>
      <c r="I48" s="85">
        <v>218.88</v>
      </c>
      <c r="J48" s="92">
        <v>180</v>
      </c>
      <c r="K48" s="92">
        <v>152</v>
      </c>
      <c r="L48" s="92">
        <v>136</v>
      </c>
      <c r="M48" s="92">
        <v>79</v>
      </c>
      <c r="N48" s="92">
        <v>28</v>
      </c>
      <c r="O48" s="92">
        <v>24</v>
      </c>
      <c r="P48" s="23"/>
      <c r="Q48" s="86">
        <f>SUM(D48:P48)</f>
        <v>1248.1279999999999</v>
      </c>
    </row>
    <row r="49" spans="1:18" x14ac:dyDescent="0.35">
      <c r="A49" s="54"/>
      <c r="B49" s="55"/>
      <c r="C49" s="56" t="s">
        <v>19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 x14ac:dyDescent="0.35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5" x14ac:dyDescent="0.35">
      <c r="A51" s="17" t="s">
        <v>22</v>
      </c>
      <c r="B51" s="37" t="s">
        <v>24</v>
      </c>
    </row>
    <row r="53" spans="1:18" x14ac:dyDescent="0.35">
      <c r="A53" s="80"/>
    </row>
    <row r="54" spans="1:18" x14ac:dyDescent="0.35">
      <c r="A54" s="8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 x14ac:dyDescent="0.35">
      <c r="A55" s="80"/>
    </row>
    <row r="56" spans="1:18" x14ac:dyDescent="0.35">
      <c r="A56" s="80"/>
    </row>
    <row r="57" spans="1:18" x14ac:dyDescent="0.35">
      <c r="A57" s="80"/>
    </row>
    <row r="58" spans="1:18" x14ac:dyDescent="0.35">
      <c r="A58" s="80"/>
    </row>
    <row r="59" spans="1:18" x14ac:dyDescent="0.35">
      <c r="A59" s="80"/>
    </row>
    <row r="60" spans="1:18" x14ac:dyDescent="0.35">
      <c r="A60" s="80"/>
    </row>
    <row r="61" spans="1:18" x14ac:dyDescent="0.35">
      <c r="A61" s="80"/>
    </row>
    <row r="62" spans="1:18" x14ac:dyDescent="0.35">
      <c r="A62" s="80"/>
    </row>
    <row r="63" spans="1:18" x14ac:dyDescent="0.35">
      <c r="A63" s="80"/>
    </row>
    <row r="64" spans="1:18" x14ac:dyDescent="0.35">
      <c r="A64" s="80"/>
    </row>
    <row r="65" spans="1:1" x14ac:dyDescent="0.35">
      <c r="A65" s="80"/>
    </row>
    <row r="66" spans="1:1" x14ac:dyDescent="0.35">
      <c r="A66" s="80"/>
    </row>
    <row r="67" spans="1:1" x14ac:dyDescent="0.35">
      <c r="A67" s="80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baseColWidth="10" defaultRowHeight="14.5" x14ac:dyDescent="0.35"/>
  <cols>
    <col min="1" max="1" width="19.453125" bestFit="1" customWidth="1"/>
    <col min="2" max="2" width="9.453125" style="1" customWidth="1"/>
    <col min="3" max="3" width="24" bestFit="1" customWidth="1"/>
    <col min="4" max="15" width="11.54296875" customWidth="1"/>
    <col min="16" max="16" width="18.54296875" style="4" bestFit="1" customWidth="1"/>
    <col min="17" max="17" width="10.81640625" customWidth="1"/>
    <col min="18" max="18" width="27.1796875" bestFit="1" customWidth="1"/>
  </cols>
  <sheetData>
    <row r="1" spans="1:18" ht="29.15" customHeight="1" x14ac:dyDescent="0.35">
      <c r="A1" s="2"/>
      <c r="B1" s="3" t="s">
        <v>20</v>
      </c>
      <c r="C1" s="13" t="s">
        <v>23</v>
      </c>
      <c r="D1" s="27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18" t="s">
        <v>13</v>
      </c>
      <c r="Q1" s="70" t="s">
        <v>14</v>
      </c>
      <c r="R1" s="25" t="s">
        <v>12</v>
      </c>
    </row>
    <row r="2" spans="1:18" x14ac:dyDescent="0.35">
      <c r="A2" s="7" t="s">
        <v>31</v>
      </c>
      <c r="B2" s="1">
        <v>45.14</v>
      </c>
      <c r="C2" t="s">
        <v>15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 x14ac:dyDescent="0.35">
      <c r="C3" t="s">
        <v>21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 x14ac:dyDescent="0.35">
      <c r="A4" s="5"/>
      <c r="B4" s="6"/>
      <c r="C4" s="5" t="s">
        <v>16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 x14ac:dyDescent="0.35">
      <c r="A5" s="7" t="s">
        <v>27</v>
      </c>
      <c r="B5" s="1">
        <v>13.32</v>
      </c>
      <c r="C5" t="s">
        <v>15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 x14ac:dyDescent="0.35">
      <c r="A6" s="7" t="s">
        <v>28</v>
      </c>
      <c r="B6" s="1">
        <v>13.32</v>
      </c>
      <c r="C6" t="s">
        <v>15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 x14ac:dyDescent="0.35">
      <c r="A7" s="7" t="s">
        <v>29</v>
      </c>
      <c r="B7" s="1">
        <v>13.32</v>
      </c>
      <c r="C7" t="s">
        <v>15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 x14ac:dyDescent="0.35">
      <c r="A8" s="7" t="s">
        <v>30</v>
      </c>
      <c r="B8" s="1">
        <v>13.32</v>
      </c>
      <c r="C8" t="s">
        <v>15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35</v>
      </c>
    </row>
    <row r="9" spans="1:18" x14ac:dyDescent="0.35">
      <c r="C9" s="16" t="s">
        <v>17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 x14ac:dyDescent="0.35">
      <c r="C10" t="s">
        <v>21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 x14ac:dyDescent="0.35">
      <c r="A11" s="5"/>
      <c r="B11" s="6"/>
      <c r="C11" s="5" t="s">
        <v>16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 x14ac:dyDescent="0.35">
      <c r="B12" s="10"/>
      <c r="D12" s="24"/>
      <c r="P12" s="22"/>
      <c r="Q12" s="24"/>
      <c r="R12" s="24"/>
    </row>
    <row r="13" spans="1:18" s="9" customFormat="1" ht="15.5" x14ac:dyDescent="0.35">
      <c r="A13" s="44" t="s">
        <v>34</v>
      </c>
      <c r="B13" s="45">
        <f>SUM(B2:B11)</f>
        <v>98.419999999999987</v>
      </c>
      <c r="C13" s="46" t="s">
        <v>25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8">
        <f>Q2+Q9</f>
        <v>99689</v>
      </c>
      <c r="R13" s="48"/>
    </row>
    <row r="14" spans="1:18" ht="15.5" x14ac:dyDescent="0.35">
      <c r="A14" s="23"/>
      <c r="C14" s="49" t="s">
        <v>26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7">
        <f>SUM(D14:O14)</f>
        <v>96619</v>
      </c>
      <c r="R14" s="51"/>
    </row>
    <row r="15" spans="1:18" x14ac:dyDescent="0.35">
      <c r="A15" s="23"/>
      <c r="B15"/>
      <c r="C15" s="14" t="s">
        <v>16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 x14ac:dyDescent="0.35">
      <c r="A16" s="23" t="s">
        <v>32</v>
      </c>
      <c r="B16" s="53">
        <v>43.47</v>
      </c>
      <c r="C16" s="39" t="s">
        <v>33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9">
        <f>SUM(D16:O16)</f>
        <v>41303</v>
      </c>
      <c r="R16" s="52"/>
    </row>
    <row r="17" spans="1:18" x14ac:dyDescent="0.35">
      <c r="A17" s="23"/>
      <c r="B17"/>
      <c r="C17" s="38" t="s">
        <v>18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4">
        <v>213.52799999999999</v>
      </c>
      <c r="K17" s="85">
        <v>175.584</v>
      </c>
      <c r="L17" s="85">
        <v>104.4</v>
      </c>
      <c r="M17" s="85">
        <v>72.912000000000006</v>
      </c>
      <c r="N17" s="85">
        <v>35.28</v>
      </c>
      <c r="O17" s="85">
        <v>21.576000000000001</v>
      </c>
      <c r="P17" s="23"/>
      <c r="Q17" s="23"/>
      <c r="R17" s="86">
        <f>SUM(D17:Q17)</f>
        <v>1362.2800000000002</v>
      </c>
    </row>
    <row r="18" spans="1:18" x14ac:dyDescent="0.35">
      <c r="A18" s="54"/>
      <c r="B18" s="55"/>
      <c r="C18" s="56" t="s">
        <v>19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 x14ac:dyDescent="0.35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5.5" x14ac:dyDescent="0.35">
      <c r="A20" s="17" t="s">
        <v>22</v>
      </c>
      <c r="B20" s="37" t="s">
        <v>24</v>
      </c>
    </row>
    <row r="22" spans="1:18" x14ac:dyDescent="0.35">
      <c r="A22" s="8"/>
    </row>
    <row r="23" spans="1:18" x14ac:dyDescent="0.35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topLeftCell="A12" zoomScaleNormal="100" workbookViewId="0">
      <selection activeCell="O16" sqref="O16"/>
    </sheetView>
  </sheetViews>
  <sheetFormatPr baseColWidth="10" defaultRowHeight="14.5" x14ac:dyDescent="0.35"/>
  <cols>
    <col min="1" max="1" width="28.453125" bestFit="1" customWidth="1"/>
    <col min="2" max="2" width="15.453125" style="1" bestFit="1" customWidth="1"/>
    <col min="3" max="4" width="12.453125" bestFit="1" customWidth="1"/>
    <col min="16" max="16" width="18.54296875" style="4" bestFit="1" customWidth="1"/>
    <col min="18" max="18" width="31.7265625" bestFit="1" customWidth="1"/>
  </cols>
  <sheetData>
    <row r="1" spans="1:16" s="7" customFormat="1" x14ac:dyDescent="0.35">
      <c r="B1" s="10"/>
      <c r="P1" s="61"/>
    </row>
    <row r="2" spans="1:16" ht="18.5" x14ac:dyDescent="0.35">
      <c r="A2" s="13" t="s">
        <v>23</v>
      </c>
      <c r="B2" s="27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5" t="s">
        <v>55</v>
      </c>
      <c r="P2" s="62"/>
    </row>
    <row r="3" spans="1:16" x14ac:dyDescent="0.35">
      <c r="A3" t="s">
        <v>61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 x14ac:dyDescent="0.35">
      <c r="A4" t="s">
        <v>60</v>
      </c>
      <c r="B4" s="88">
        <f>'2023'!D39</f>
        <v>1762</v>
      </c>
      <c r="C4" s="88">
        <f>'2023'!E39</f>
        <v>2773</v>
      </c>
      <c r="D4" s="88">
        <f>'2023'!F39</f>
        <v>5161</v>
      </c>
      <c r="E4" s="88">
        <f>'2023'!G39</f>
        <v>7005</v>
      </c>
      <c r="F4" s="88">
        <f>'2023'!H39</f>
        <v>7781</v>
      </c>
      <c r="G4" s="88">
        <f>'2023'!I39</f>
        <v>8341</v>
      </c>
      <c r="H4" s="88">
        <f>'2023'!J39</f>
        <v>8553</v>
      </c>
      <c r="I4" s="88">
        <f>'2023'!K39</f>
        <v>7296</v>
      </c>
      <c r="J4" s="88">
        <f>'2023'!L39</f>
        <v>5696</v>
      </c>
      <c r="K4" s="88">
        <f>'2023'!M39</f>
        <v>3702</v>
      </c>
      <c r="L4" s="88">
        <f>'2023'!N39</f>
        <v>2053</v>
      </c>
      <c r="M4" s="88">
        <f>'2023'!O39</f>
        <v>1470</v>
      </c>
      <c r="N4" s="23"/>
      <c r="P4" s="61"/>
    </row>
    <row r="5" spans="1:16" x14ac:dyDescent="0.35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 x14ac:dyDescent="0.35">
      <c r="P6" s="62"/>
    </row>
    <row r="7" spans="1:16" s="7" customFormat="1" ht="18.5" x14ac:dyDescent="0.35">
      <c r="A7" s="79" t="s">
        <v>37</v>
      </c>
      <c r="B7" s="27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5" t="s">
        <v>55</v>
      </c>
      <c r="P7" s="61"/>
    </row>
    <row r="8" spans="1:16" x14ac:dyDescent="0.35">
      <c r="A8" t="s">
        <v>56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 x14ac:dyDescent="0.35">
      <c r="A9" t="s">
        <v>57</v>
      </c>
      <c r="B9" s="88">
        <f>'2023'!D44</f>
        <v>2790.9750000000004</v>
      </c>
      <c r="C9" s="88">
        <f>'2023'!E44</f>
        <v>17548.084999999999</v>
      </c>
      <c r="D9" s="88">
        <f>'2023'!F44</f>
        <v>32075.27</v>
      </c>
      <c r="E9" s="88">
        <f>'2023'!G44</f>
        <v>42572.165000000001</v>
      </c>
      <c r="F9" s="88">
        <f>'2023'!H44</f>
        <v>47093.83</v>
      </c>
      <c r="G9" s="88">
        <f>'2023'!I44</f>
        <v>49901.925000000003</v>
      </c>
      <c r="H9" s="88">
        <f>'2023'!J44</f>
        <v>51811.525000000001</v>
      </c>
      <c r="I9" s="88">
        <f>'2023'!K44</f>
        <v>44343.630000000005</v>
      </c>
      <c r="J9" s="88">
        <f>'2023'!L44</f>
        <v>34911.47</v>
      </c>
      <c r="K9" s="88">
        <f>'2023'!M44</f>
        <v>22832.36</v>
      </c>
      <c r="L9" s="88">
        <f>'2023'!N44</f>
        <v>14904.064999999999</v>
      </c>
      <c r="M9" s="88">
        <f>'2023'!O44</f>
        <v>10821.605</v>
      </c>
      <c r="N9" s="23"/>
      <c r="P9" s="62"/>
    </row>
    <row r="10" spans="1:16" x14ac:dyDescent="0.35">
      <c r="A10" t="s">
        <v>58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18.5" x14ac:dyDescent="0.35">
      <c r="A12" s="89" t="s">
        <v>62</v>
      </c>
      <c r="B12" s="27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2" t="s">
        <v>5</v>
      </c>
      <c r="H12" s="2" t="s">
        <v>6</v>
      </c>
      <c r="I12" s="2" t="s">
        <v>7</v>
      </c>
      <c r="J12" s="2" t="s">
        <v>8</v>
      </c>
      <c r="K12" s="2" t="s">
        <v>9</v>
      </c>
      <c r="L12" s="2" t="s">
        <v>10</v>
      </c>
      <c r="M12" s="2" t="s">
        <v>11</v>
      </c>
      <c r="N12" s="25" t="s">
        <v>55</v>
      </c>
      <c r="P12" s="61"/>
    </row>
    <row r="13" spans="1:16" x14ac:dyDescent="0.35">
      <c r="A13" t="s">
        <v>65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19004</v>
      </c>
      <c r="L13" s="1">
        <f>'2024'!N43</f>
        <v>10671</v>
      </c>
      <c r="M13" s="1">
        <f>'2024'!O43</f>
        <v>7514</v>
      </c>
      <c r="N13" s="23">
        <f>SUM(B13:M13)</f>
        <v>411885</v>
      </c>
      <c r="P13" s="62"/>
    </row>
    <row r="14" spans="1:16" x14ac:dyDescent="0.35">
      <c r="A14" t="s">
        <v>63</v>
      </c>
      <c r="B14" s="88">
        <f>'2024'!D44</f>
        <v>13112.935125</v>
      </c>
      <c r="C14" s="88">
        <f>'2024'!E44</f>
        <v>20233.344575000003</v>
      </c>
      <c r="D14" s="88">
        <f>'2024'!F44</f>
        <v>37075.893649999998</v>
      </c>
      <c r="E14" s="88">
        <f>'2024'!G44</f>
        <v>49364.304175000005</v>
      </c>
      <c r="F14" s="88">
        <f>'2024'!H44</f>
        <v>54639.360849999997</v>
      </c>
      <c r="G14" s="88">
        <f>'2024'!I44</f>
        <v>57993.415374999997</v>
      </c>
      <c r="H14" s="88">
        <f>'2024'!J44</f>
        <v>60105.467375</v>
      </c>
      <c r="I14" s="88">
        <f>'2024'!K44</f>
        <v>51417.911850000004</v>
      </c>
      <c r="J14" s="88">
        <f>'2024'!L44</f>
        <v>40432.912649999998</v>
      </c>
      <c r="K14" s="88">
        <f>'2024'!M44</f>
        <v>26420.198199999999</v>
      </c>
      <c r="L14" s="88">
        <f>'2024'!N44</f>
        <v>14839.809674999999</v>
      </c>
      <c r="M14" s="88">
        <f>'2024'!O44</f>
        <v>10774.846974999999</v>
      </c>
      <c r="N14" s="23"/>
      <c r="P14" s="62"/>
    </row>
    <row r="15" spans="1:16" x14ac:dyDescent="0.35">
      <c r="A15" t="s">
        <v>64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136</v>
      </c>
      <c r="K15" s="1">
        <f>'2024'!M49</f>
        <v>64</v>
      </c>
      <c r="L15" s="1">
        <f>'2024'!N49</f>
        <v>69</v>
      </c>
      <c r="M15" s="1">
        <f>'2024'!O49</f>
        <v>30</v>
      </c>
      <c r="N15" s="23">
        <f>SUM(B15:M15)</f>
        <v>1507</v>
      </c>
      <c r="P15" s="62"/>
    </row>
    <row r="16" spans="1:16" x14ac:dyDescent="0.35">
      <c r="P16" s="62"/>
    </row>
    <row r="17" spans="1:16" x14ac:dyDescent="0.35">
      <c r="A17" s="65"/>
      <c r="P17" s="66"/>
    </row>
    <row r="18" spans="1:16" x14ac:dyDescent="0.35">
      <c r="P18" s="60"/>
    </row>
    <row r="19" spans="1:16" x14ac:dyDescent="0.35">
      <c r="P19" s="60"/>
    </row>
    <row r="20" spans="1:16" s="9" customFormat="1" ht="15.5" x14ac:dyDescent="0.35">
      <c r="B20" s="63"/>
      <c r="P20" s="64"/>
    </row>
    <row r="21" spans="1:16" x14ac:dyDescent="0.35">
      <c r="P21" s="60"/>
    </row>
    <row r="22" spans="1:16" x14ac:dyDescent="0.35">
      <c r="A22" s="8"/>
      <c r="P22" s="60"/>
    </row>
    <row r="23" spans="1:16" x14ac:dyDescent="0.35">
      <c r="P23" s="60"/>
    </row>
    <row r="24" spans="1:16" x14ac:dyDescent="0.35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D44A3CE2FA944B87238B770BA7D16" ma:contentTypeVersion="15" ma:contentTypeDescription="Create a new document." ma:contentTypeScope="" ma:versionID="b4433f7706c50ce396d4a3ce2ce2f8e7">
  <xsd:schema xmlns:xsd="http://www.w3.org/2001/XMLSchema" xmlns:xs="http://www.w3.org/2001/XMLSchema" xmlns:p="http://schemas.microsoft.com/office/2006/metadata/properties" xmlns:ns2="2ed95413-7989-4722-a896-b0185a204142" xmlns:ns3="ee6c7cd3-1318-43b2-b7b0-dd69e588bad5" targetNamespace="http://schemas.microsoft.com/office/2006/metadata/properties" ma:root="true" ma:fieldsID="430866f4c25359b969316c724d2294d8" ns2:_="" ns3:_="">
    <xsd:import namespace="2ed95413-7989-4722-a896-b0185a204142"/>
    <xsd:import namespace="ee6c7cd3-1318-43b2-b7b0-dd69e588b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95413-7989-4722-a896-b0185a204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5d5077-20c7-42cd-b1eb-cb435ef02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c7cd3-1318-43b2-b7b0-dd69e588ba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389552-041c-4206-8cbe-f4351f970ca3}" ma:internalName="TaxCatchAll" ma:showField="CatchAllData" ma:web="ee6c7cd3-1318-43b2-b7b0-dd69e588b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d95413-7989-4722-a896-b0185a204142">
      <Terms xmlns="http://schemas.microsoft.com/office/infopath/2007/PartnerControls"/>
    </lcf76f155ced4ddcb4097134ff3c332f>
    <TaxCatchAll xmlns="ee6c7cd3-1318-43b2-b7b0-dd69e588bad5" xsi:nil="true"/>
  </documentManagement>
</p:properties>
</file>

<file path=customXml/itemProps1.xml><?xml version="1.0" encoding="utf-8"?>
<ds:datastoreItem xmlns:ds="http://schemas.openxmlformats.org/officeDocument/2006/customXml" ds:itemID="{50751A7C-473C-4BF9-B418-C385D6771827}"/>
</file>

<file path=customXml/itemProps2.xml><?xml version="1.0" encoding="utf-8"?>
<ds:datastoreItem xmlns:ds="http://schemas.openxmlformats.org/officeDocument/2006/customXml" ds:itemID="{B2721302-79A5-4379-BFF5-F418E248345E}"/>
</file>

<file path=customXml/itemProps3.xml><?xml version="1.0" encoding="utf-8"?>
<ds:datastoreItem xmlns:ds="http://schemas.openxmlformats.org/officeDocument/2006/customXml" ds:itemID="{4AE69E2E-FE9B-4EAA-BF3A-51C20A1A9A2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2024</vt:lpstr>
      <vt:lpstr>2023</vt:lpstr>
      <vt:lpstr>2022</vt:lpstr>
      <vt:lpstr>aktuelles Diagramm - alle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Reto Seiler</dc:creator>
  <cp:lastModifiedBy>Reto Seiler</cp:lastModifiedBy>
  <cp:lastPrinted>2021-11-08T13:06:11Z</cp:lastPrinted>
  <dcterms:created xsi:type="dcterms:W3CDTF">2021-08-01T12:32:14Z</dcterms:created>
  <dcterms:modified xsi:type="dcterms:W3CDTF">2025-01-08T08:52:53Z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0x01010092CD44A3CE2FA944B87238B770BA7D16</vt:lpwstr>
  </property>
</Properties>
</file>